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FA"/>
  <workbookPr filterPrivacy="1" showInkAnnotation="0" codeName="ThisWorkbook" defaultThemeVersion="124226"/>
  <bookViews>
    <workbookView xWindow="105" yWindow="105" windowWidth="17340" windowHeight="10725" tabRatio="1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state="hidden" r:id="rId15"/>
    <sheet name="WS K TRUE-UP RTEP RR" sheetId="13"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42" r:id="rId22"/>
    <sheet name="KGP - WS P Dep. Rates" sheetId="43" r:id="rId23"/>
    <sheet name="KPC - WS P Dep. Rates" sheetId="44" r:id="rId24"/>
    <sheet name="OPC - WS P Dep. Rates" sheetId="45" r:id="rId25"/>
    <sheet name="WPC-WS P Dep. Rates" sheetId="46" r:id="rId26"/>
    <sheet name="WS Q NITS" sheetId="32" r:id="rId27"/>
    <sheet name="WS Q Schedule 12" sheetId="47" r:id="rId28"/>
    <sheet name="WSQ Schedule 1A" sheetId="49" r:id="rId29"/>
  </sheets>
  <externalReferences>
    <externalReference r:id="rId30"/>
    <externalReference r:id="rId31"/>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5">'WPC-WS P Dep. Rates'!#REF!</definedName>
    <definedName name="_xlnm.Print_Area" localSheetId="5">'WS  B-3'!$A$1:$R$73</definedName>
    <definedName name="_xlnm.Print_Area" localSheetId="10">'WS G  State Tax Rate'!$A$1:$H$43</definedName>
    <definedName name="_xlnm.Print_Area" localSheetId="19">'WS O - PBOP'!$A$1:$K$57</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Capital'!$A$10:$N$95</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Capital'!$A$10:$N$95</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Capital'!$A$10:$N$95</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Capital'!$A$10:$N$95</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Amts'!$A$3:$F$122</definedName>
    <definedName name="Z_C5140E12_E05E_4473_9142_42F37320A417_.wvu.PrintArea" localSheetId="14" hidden="1">'WS J PROJECTED RTEP RR'!$A$3:$O$80</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F87" i="35" l="1"/>
  <c r="F86" i="35"/>
  <c r="I39" i="42" l="1"/>
  <c r="I38" i="42"/>
  <c r="I37" i="42"/>
  <c r="I36" i="42"/>
  <c r="I35" i="42"/>
  <c r="I34" i="42"/>
  <c r="I33" i="42"/>
  <c r="I32" i="42"/>
  <c r="I31" i="42"/>
  <c r="E39" i="42"/>
  <c r="E38" i="42"/>
  <c r="E37" i="42"/>
  <c r="K37" i="42" s="1"/>
  <c r="E36" i="42"/>
  <c r="E35" i="42"/>
  <c r="E34" i="42"/>
  <c r="E33" i="42"/>
  <c r="K33" i="42" s="1"/>
  <c r="E32" i="42"/>
  <c r="E31" i="42"/>
  <c r="K39" i="42"/>
  <c r="K38" i="42"/>
  <c r="K35" i="42"/>
  <c r="K34" i="42"/>
  <c r="K31" i="42"/>
  <c r="K32" i="42" l="1"/>
  <c r="K36" i="42"/>
  <c r="O48" i="50" l="1"/>
  <c r="O29" i="50"/>
  <c r="N48" i="50" l="1"/>
  <c r="N29" i="50"/>
  <c r="A70" i="38" l="1"/>
  <c r="A71" i="38" s="1"/>
  <c r="A72" i="38" s="1"/>
  <c r="A73" i="38" s="1"/>
  <c r="A74" i="38" s="1"/>
  <c r="A75" i="38" s="1"/>
  <c r="K74" i="38"/>
  <c r="J74" i="38"/>
  <c r="I74" i="38"/>
  <c r="G74" i="38"/>
  <c r="D74" i="38"/>
  <c r="C74" i="38"/>
  <c r="K73" i="38"/>
  <c r="J73" i="38"/>
  <c r="I73" i="38"/>
  <c r="D73" i="38"/>
  <c r="C73" i="38"/>
  <c r="G73" i="38" s="1"/>
  <c r="K189" i="38"/>
  <c r="J189" i="38"/>
  <c r="I189" i="38"/>
  <c r="G189" i="38"/>
  <c r="D189" i="38"/>
  <c r="C189" i="38"/>
  <c r="K188" i="38"/>
  <c r="G188" i="38"/>
  <c r="D188" i="38"/>
  <c r="C188" i="38"/>
  <c r="M45" i="50" l="1"/>
  <c r="M48" i="50"/>
  <c r="L48" i="50"/>
  <c r="K48" i="50"/>
  <c r="J48" i="50"/>
  <c r="I48" i="50"/>
  <c r="P45" i="50"/>
  <c r="P44" i="50"/>
  <c r="Q39" i="50"/>
  <c r="Q36" i="50"/>
  <c r="Q35" i="50"/>
  <c r="Q48" i="50" s="1"/>
  <c r="P40" i="50"/>
  <c r="P38" i="50"/>
  <c r="P37" i="50"/>
  <c r="P34" i="50"/>
  <c r="P48" i="50" s="1"/>
  <c r="M29" i="50"/>
  <c r="L29" i="50"/>
  <c r="K29" i="50"/>
  <c r="J29" i="50"/>
  <c r="I29" i="50"/>
  <c r="M26" i="50"/>
  <c r="P26" i="50"/>
  <c r="P25" i="50"/>
  <c r="Q20" i="50"/>
  <c r="P21" i="50"/>
  <c r="P19" i="50"/>
  <c r="P18" i="50"/>
  <c r="Q17" i="50"/>
  <c r="Q16" i="50"/>
  <c r="P15" i="50"/>
  <c r="P29" i="50" s="1"/>
  <c r="Q14" i="50"/>
  <c r="P13" i="50"/>
  <c r="Q29" i="50" l="1"/>
  <c r="E77" i="30" l="1"/>
  <c r="G172" i="2" l="1"/>
  <c r="G142" i="2"/>
  <c r="E69" i="9" l="1"/>
  <c r="A67" i="9"/>
  <c r="A68" i="9" s="1"/>
  <c r="A69" i="9" s="1"/>
  <c r="E68" i="9"/>
  <c r="A47" i="6"/>
  <c r="A48" i="6" s="1"/>
  <c r="A49" i="6" s="1"/>
  <c r="A50" i="6" s="1"/>
  <c r="A51" i="6" s="1"/>
  <c r="A52" i="6" s="1"/>
  <c r="A53" i="6" s="1"/>
  <c r="A54" i="6" s="1"/>
  <c r="A55" i="6" s="1"/>
  <c r="A56" i="6" s="1"/>
  <c r="A57" i="6" s="1"/>
  <c r="A58" i="6" s="1"/>
  <c r="A59" i="6" s="1"/>
  <c r="A60" i="6" s="1"/>
  <c r="C154" i="38" l="1"/>
  <c r="D154" i="38"/>
  <c r="G154" i="38" s="1"/>
  <c r="I154" i="38"/>
  <c r="J154" i="38"/>
  <c r="K154" i="38"/>
  <c r="C152" i="38"/>
  <c r="G152" i="38" s="1"/>
  <c r="D152" i="38"/>
  <c r="I152" i="38"/>
  <c r="J152" i="38"/>
  <c r="K152" i="38"/>
  <c r="C153" i="38"/>
  <c r="D153" i="38"/>
  <c r="I153" i="38"/>
  <c r="J153" i="38"/>
  <c r="K153" i="38"/>
  <c r="C155" i="38"/>
  <c r="D155" i="38"/>
  <c r="G155" i="38"/>
  <c r="I155" i="38"/>
  <c r="J155" i="38"/>
  <c r="K155" i="38"/>
  <c r="C156" i="38"/>
  <c r="D156" i="38"/>
  <c r="I156" i="38"/>
  <c r="J156" i="38"/>
  <c r="K156" i="38"/>
  <c r="C108" i="38"/>
  <c r="D108" i="38"/>
  <c r="G108" i="38" s="1"/>
  <c r="I108" i="38"/>
  <c r="J108" i="38"/>
  <c r="K108" i="38"/>
  <c r="K57" i="38"/>
  <c r="J57" i="38"/>
  <c r="I57" i="38"/>
  <c r="D57" i="38"/>
  <c r="G57" i="38" s="1"/>
  <c r="C57" i="38"/>
  <c r="A44" i="39"/>
  <c r="A45" i="39" s="1"/>
  <c r="A46" i="39" s="1"/>
  <c r="A47" i="39" s="1"/>
  <c r="A48" i="39" s="1"/>
  <c r="A49" i="39" s="1"/>
  <c r="A50" i="39" s="1"/>
  <c r="A51" i="39" s="1"/>
  <c r="A52" i="39" s="1"/>
  <c r="K49" i="39"/>
  <c r="J49" i="39"/>
  <c r="I49" i="39"/>
  <c r="D49" i="39"/>
  <c r="C49" i="39"/>
  <c r="K47" i="39"/>
  <c r="J47" i="39"/>
  <c r="I47" i="39"/>
  <c r="D47" i="39"/>
  <c r="G47" i="39" s="1"/>
  <c r="C47" i="39"/>
  <c r="G153" i="38" l="1"/>
  <c r="G156" i="38"/>
  <c r="G49" i="39"/>
  <c r="A8" i="49"/>
  <c r="B39" i="49"/>
  <c r="B40" i="49" s="1"/>
  <c r="B41" i="49" s="1"/>
  <c r="B42" i="49" s="1"/>
  <c r="B43" i="49" s="1"/>
  <c r="B44" i="49" s="1"/>
  <c r="B45" i="49" s="1"/>
  <c r="B46" i="49" s="1"/>
  <c r="B47" i="49" s="1"/>
  <c r="B48" i="49" s="1"/>
  <c r="B49" i="49" s="1"/>
  <c r="B50" i="49" s="1"/>
  <c r="B36" i="49"/>
  <c r="B22" i="49"/>
  <c r="B23" i="49" s="1"/>
  <c r="B24" i="49" s="1"/>
  <c r="B25" i="49" s="1"/>
  <c r="B26" i="49" s="1"/>
  <c r="B27" i="49" s="1"/>
  <c r="B28" i="49" s="1"/>
  <c r="B29" i="49" s="1"/>
  <c r="B30" i="49" s="1"/>
  <c r="B31" i="49" s="1"/>
  <c r="B32" i="49" s="1"/>
  <c r="B21" i="49"/>
  <c r="F15" i="49"/>
  <c r="F15" i="47"/>
  <c r="B39" i="47"/>
  <c r="B40" i="47" s="1"/>
  <c r="B41" i="47" s="1"/>
  <c r="B42" i="47" s="1"/>
  <c r="B43" i="47" s="1"/>
  <c r="B44" i="47" s="1"/>
  <c r="B45" i="47" s="1"/>
  <c r="B46" i="47" s="1"/>
  <c r="B47" i="47" s="1"/>
  <c r="B48" i="47" s="1"/>
  <c r="B49" i="47" s="1"/>
  <c r="B50" i="47" s="1"/>
  <c r="B36" i="47"/>
  <c r="B22" i="47"/>
  <c r="B23" i="47" s="1"/>
  <c r="B24" i="47" s="1"/>
  <c r="B25" i="47" s="1"/>
  <c r="B26" i="47" s="1"/>
  <c r="B27" i="47" s="1"/>
  <c r="B28" i="47" s="1"/>
  <c r="B29" i="47" s="1"/>
  <c r="B30" i="47" s="1"/>
  <c r="B31" i="47" s="1"/>
  <c r="B32" i="47" s="1"/>
  <c r="B21" i="47"/>
  <c r="A8" i="47"/>
  <c r="B36" i="32"/>
  <c r="B39" i="32"/>
  <c r="B21" i="32"/>
  <c r="A8" i="32"/>
  <c r="C195" i="38" l="1"/>
  <c r="C194" i="38"/>
  <c r="C193" i="38"/>
  <c r="C192" i="38"/>
  <c r="C191" i="38"/>
  <c r="C190" i="38"/>
  <c r="C203" i="38"/>
  <c r="K91" i="6"/>
  <c r="E91" i="6" s="1"/>
  <c r="E90" i="6"/>
  <c r="J89" i="6"/>
  <c r="K89" i="6" s="1"/>
  <c r="E89" i="6" s="1"/>
  <c r="E88" i="6"/>
  <c r="K87" i="6"/>
  <c r="E87" i="6" s="1"/>
  <c r="K86" i="6"/>
  <c r="E86" i="6"/>
  <c r="K85" i="6"/>
  <c r="E85" i="6" s="1"/>
  <c r="I84" i="6"/>
  <c r="K84" i="6" s="1"/>
  <c r="E84" i="6" s="1"/>
  <c r="I83" i="6"/>
  <c r="K83" i="6" s="1"/>
  <c r="E83" i="6" s="1"/>
  <c r="K82" i="6"/>
  <c r="E82" i="6" s="1"/>
  <c r="K81" i="6"/>
  <c r="E81" i="6"/>
  <c r="K80" i="6"/>
  <c r="E80" i="6" s="1"/>
  <c r="K79" i="6"/>
  <c r="E79" i="6" s="1"/>
  <c r="K78" i="6"/>
  <c r="E78" i="6" s="1"/>
  <c r="J77" i="6"/>
  <c r="K77" i="6" s="1"/>
  <c r="E77" i="6" s="1"/>
  <c r="K76" i="6"/>
  <c r="E76" i="6" s="1"/>
  <c r="K75" i="6"/>
  <c r="E75" i="6"/>
  <c r="K74" i="6"/>
  <c r="E74" i="6" s="1"/>
  <c r="K73" i="6"/>
  <c r="E73" i="6"/>
  <c r="K72" i="6"/>
  <c r="E72" i="6" s="1"/>
  <c r="K71" i="6"/>
  <c r="E71" i="6"/>
  <c r="K70" i="6"/>
  <c r="E70" i="6" s="1"/>
  <c r="I69" i="6"/>
  <c r="K69" i="6" s="1"/>
  <c r="E69" i="6" s="1"/>
  <c r="B56" i="41" l="1"/>
  <c r="G18" i="5"/>
  <c r="H236" i="2"/>
  <c r="O1367" i="13" l="1"/>
  <c r="M1367" i="13"/>
  <c r="O1366" i="13"/>
  <c r="M1366" i="13"/>
  <c r="O1365" i="13"/>
  <c r="M1365" i="13"/>
  <c r="O1364" i="13"/>
  <c r="M1364" i="13"/>
  <c r="O1363" i="13"/>
  <c r="M1363" i="13"/>
  <c r="O1362" i="13"/>
  <c r="M1362" i="13"/>
  <c r="O1361" i="13"/>
  <c r="M1361" i="13"/>
  <c r="O1360" i="13"/>
  <c r="M1360" i="13"/>
  <c r="O1359" i="13"/>
  <c r="M1359" i="13"/>
  <c r="O1358" i="13"/>
  <c r="M1358" i="13"/>
  <c r="O1357" i="13"/>
  <c r="M1357" i="13"/>
  <c r="O1356" i="13"/>
  <c r="M1356" i="13"/>
  <c r="O1355" i="13"/>
  <c r="M1355" i="13"/>
  <c r="O1354" i="13"/>
  <c r="M1354" i="13"/>
  <c r="O1353" i="13"/>
  <c r="M1353" i="13"/>
  <c r="O1352" i="13"/>
  <c r="M1352" i="13"/>
  <c r="O1351" i="13"/>
  <c r="M1351" i="13"/>
  <c r="O1350" i="13"/>
  <c r="M1350" i="13"/>
  <c r="O1349" i="13"/>
  <c r="M1349" i="13"/>
  <c r="O1348" i="13"/>
  <c r="M1348" i="13"/>
  <c r="O1347" i="13"/>
  <c r="M1347" i="13"/>
  <c r="O1346" i="13"/>
  <c r="M1346" i="13"/>
  <c r="O1345" i="13"/>
  <c r="M1345" i="13"/>
  <c r="O1344" i="13"/>
  <c r="M1344" i="13"/>
  <c r="O1343" i="13"/>
  <c r="M1343" i="13"/>
  <c r="O1342" i="13"/>
  <c r="M1342" i="13"/>
  <c r="O1341" i="13"/>
  <c r="M1341" i="13"/>
  <c r="O1340" i="13"/>
  <c r="M1340" i="13"/>
  <c r="O1339" i="13"/>
  <c r="M1339" i="13"/>
  <c r="O1338" i="13"/>
  <c r="M1338" i="13"/>
  <c r="O1337" i="13"/>
  <c r="M1337" i="13"/>
  <c r="O1336" i="13"/>
  <c r="M1336" i="13"/>
  <c r="O1335" i="13"/>
  <c r="M1335" i="13"/>
  <c r="O1334" i="13"/>
  <c r="M1334" i="13"/>
  <c r="O1333" i="13"/>
  <c r="M1333" i="13"/>
  <c r="O1332" i="13"/>
  <c r="M1332" i="13"/>
  <c r="O1331" i="13"/>
  <c r="M1331" i="13"/>
  <c r="O1330" i="13"/>
  <c r="M1330" i="13"/>
  <c r="O1329" i="13"/>
  <c r="M1329" i="13"/>
  <c r="O1328" i="13"/>
  <c r="M1328" i="13"/>
  <c r="O1327" i="13"/>
  <c r="M1327" i="13"/>
  <c r="O1326" i="13"/>
  <c r="M1326" i="13"/>
  <c r="O1325" i="13"/>
  <c r="M1325" i="13"/>
  <c r="O1324" i="13"/>
  <c r="M1324" i="13"/>
  <c r="O1323" i="13"/>
  <c r="M1323" i="13"/>
  <c r="O1322" i="13"/>
  <c r="M1322" i="13"/>
  <c r="O1321" i="13"/>
  <c r="M1321" i="13"/>
  <c r="O1320" i="13"/>
  <c r="M1320" i="13"/>
  <c r="O1319" i="13"/>
  <c r="M1319" i="13"/>
  <c r="O1318" i="13"/>
  <c r="M1318" i="13"/>
  <c r="O1317" i="13"/>
  <c r="M1317" i="13"/>
  <c r="O1316" i="13"/>
  <c r="M1316" i="13"/>
  <c r="O1315" i="13"/>
  <c r="M1315" i="13"/>
  <c r="O1314" i="13"/>
  <c r="M1314" i="13"/>
  <c r="O1313" i="13"/>
  <c r="M1313" i="13"/>
  <c r="O1312" i="13"/>
  <c r="M1312" i="13"/>
  <c r="O1311" i="13"/>
  <c r="M1311" i="13"/>
  <c r="O1309" i="13"/>
  <c r="M1309" i="13"/>
  <c r="O1308" i="13"/>
  <c r="M1308" i="13"/>
  <c r="D1308" i="13"/>
  <c r="C1308" i="13"/>
  <c r="C1309" i="13" s="1"/>
  <c r="C1310" i="13" s="1"/>
  <c r="C1311" i="13" s="1"/>
  <c r="C1312" i="13" s="1"/>
  <c r="C1313" i="13" s="1"/>
  <c r="C1314" i="13" s="1"/>
  <c r="C1315" i="13" s="1"/>
  <c r="C1316" i="13" s="1"/>
  <c r="C1317" i="13" s="1"/>
  <c r="C1318" i="13" s="1"/>
  <c r="C1319" i="13" s="1"/>
  <c r="C1320" i="13" s="1"/>
  <c r="C1321" i="13" s="1"/>
  <c r="C1322" i="13" s="1"/>
  <c r="C1323" i="13" s="1"/>
  <c r="C1324" i="13" s="1"/>
  <c r="C1325" i="13" s="1"/>
  <c r="C1326" i="13" s="1"/>
  <c r="C1327" i="13" s="1"/>
  <c r="C1328" i="13" s="1"/>
  <c r="C1329" i="13" s="1"/>
  <c r="C1330" i="13" s="1"/>
  <c r="C1331" i="13" s="1"/>
  <c r="C1332" i="13" s="1"/>
  <c r="C1333" i="13" s="1"/>
  <c r="C1334" i="13" s="1"/>
  <c r="C1335" i="13" s="1"/>
  <c r="C1336" i="13" s="1"/>
  <c r="C1337" i="13" s="1"/>
  <c r="L1303" i="13"/>
  <c r="J1301" i="13"/>
  <c r="P1289" i="13"/>
  <c r="O1289" i="13"/>
  <c r="J1214" i="13"/>
  <c r="J1127" i="13"/>
  <c r="J1041" i="13"/>
  <c r="J955" i="13"/>
  <c r="J869" i="13"/>
  <c r="J783" i="13"/>
  <c r="J697" i="13"/>
  <c r="J611" i="13"/>
  <c r="J525" i="13"/>
  <c r="J439" i="13"/>
  <c r="J353" i="13"/>
  <c r="J267" i="13"/>
  <c r="J181" i="13"/>
  <c r="P1354" i="13" l="1"/>
  <c r="P1358" i="13"/>
  <c r="P1362" i="13"/>
  <c r="P1366" i="13"/>
  <c r="P1309" i="13"/>
  <c r="P1314" i="13"/>
  <c r="P1316" i="13"/>
  <c r="P1342" i="13"/>
  <c r="P1327" i="13"/>
  <c r="P1337" i="13"/>
  <c r="P1349" i="13"/>
  <c r="P1357" i="13"/>
  <c r="P1359" i="13"/>
  <c r="P1361" i="13"/>
  <c r="P1365" i="13"/>
  <c r="P1323" i="13"/>
  <c r="P1325" i="13"/>
  <c r="P1333" i="13"/>
  <c r="P1339" i="13"/>
  <c r="P1347" i="13"/>
  <c r="P1320" i="13"/>
  <c r="P1324" i="13"/>
  <c r="P1328" i="13"/>
  <c r="P1330" i="13"/>
  <c r="P1334" i="13"/>
  <c r="P1338" i="13"/>
  <c r="P1329" i="13"/>
  <c r="P1346" i="13"/>
  <c r="P1341" i="13"/>
  <c r="P1350" i="13"/>
  <c r="P1311" i="13"/>
  <c r="P1322" i="13"/>
  <c r="P1353" i="13"/>
  <c r="P1363" i="13"/>
  <c r="P1312" i="13"/>
  <c r="P1317" i="13"/>
  <c r="P1319" i="13"/>
  <c r="P1340" i="13"/>
  <c r="P1345" i="13"/>
  <c r="P1355" i="13"/>
  <c r="P1360" i="13"/>
  <c r="P1308" i="13"/>
  <c r="P1315" i="13"/>
  <c r="P1352" i="13"/>
  <c r="C1338" i="13"/>
  <c r="C1339" i="13" s="1"/>
  <c r="C1340" i="13" s="1"/>
  <c r="C1341" i="13" s="1"/>
  <c r="C1342" i="13" s="1"/>
  <c r="C1343" i="13" s="1"/>
  <c r="C1344" i="13" s="1"/>
  <c r="C1345" i="13" s="1"/>
  <c r="C1346" i="13" s="1"/>
  <c r="C1347" i="13" s="1"/>
  <c r="C1348" i="13" s="1"/>
  <c r="C1349" i="13" s="1"/>
  <c r="C1350" i="13" s="1"/>
  <c r="C1351" i="13" s="1"/>
  <c r="C1352" i="13" s="1"/>
  <c r="C1353" i="13" s="1"/>
  <c r="C1354" i="13" s="1"/>
  <c r="C1355" i="13" s="1"/>
  <c r="C1356" i="13" s="1"/>
  <c r="C1357" i="13" s="1"/>
  <c r="C1358" i="13" s="1"/>
  <c r="C1359" i="13" s="1"/>
  <c r="C1360" i="13" s="1"/>
  <c r="C1361" i="13" s="1"/>
  <c r="C1362" i="13" s="1"/>
  <c r="C1363" i="13" s="1"/>
  <c r="C1364" i="13" s="1"/>
  <c r="C1365" i="13" s="1"/>
  <c r="C1366" i="13" s="1"/>
  <c r="C1367" i="13" s="1"/>
  <c r="N1296" i="13"/>
  <c r="M1296" i="13"/>
  <c r="P1313" i="13"/>
  <c r="P1318" i="13"/>
  <c r="P1321" i="13"/>
  <c r="P1326" i="13"/>
  <c r="P1332" i="13"/>
  <c r="P1343" i="13"/>
  <c r="P1356" i="13"/>
  <c r="P1351" i="13"/>
  <c r="P1364" i="13"/>
  <c r="L1295" i="13"/>
  <c r="P1335" i="13"/>
  <c r="P1348" i="13"/>
  <c r="P1367" i="13"/>
  <c r="P1331" i="13"/>
  <c r="P1336" i="13"/>
  <c r="P1344" i="13"/>
  <c r="Q39" i="31"/>
  <c r="M39" i="31"/>
  <c r="I39" i="31"/>
  <c r="E39" i="31"/>
  <c r="Q38" i="31"/>
  <c r="M38" i="31"/>
  <c r="I38" i="31"/>
  <c r="E38" i="31"/>
  <c r="Q37" i="31"/>
  <c r="M37" i="31"/>
  <c r="I37" i="31"/>
  <c r="E37" i="31"/>
  <c r="Q36" i="31"/>
  <c r="M36" i="31"/>
  <c r="I36" i="31"/>
  <c r="E36" i="31"/>
  <c r="Q35" i="31"/>
  <c r="M35" i="31"/>
  <c r="I35" i="31"/>
  <c r="E35" i="31"/>
  <c r="Q34" i="31"/>
  <c r="M34" i="31"/>
  <c r="I34" i="31"/>
  <c r="E34" i="31"/>
  <c r="Q33" i="31"/>
  <c r="M33" i="31"/>
  <c r="I33" i="31"/>
  <c r="E33" i="31"/>
  <c r="Q32" i="31"/>
  <c r="M32" i="31"/>
  <c r="I32" i="31"/>
  <c r="E32" i="31"/>
  <c r="Q31" i="31"/>
  <c r="M31" i="31"/>
  <c r="I31" i="31"/>
  <c r="E31" i="31"/>
  <c r="Q28" i="31"/>
  <c r="M28" i="31"/>
  <c r="I28" i="31"/>
  <c r="E28" i="31"/>
  <c r="Q27" i="31"/>
  <c r="M27" i="31"/>
  <c r="I27" i="31"/>
  <c r="E27" i="31"/>
  <c r="Q26" i="31"/>
  <c r="M26" i="31"/>
  <c r="I26" i="31"/>
  <c r="E26" i="31"/>
  <c r="Q25" i="31"/>
  <c r="M25" i="31"/>
  <c r="I25" i="31"/>
  <c r="E25" i="31"/>
  <c r="Q24" i="31"/>
  <c r="M24" i="31"/>
  <c r="I24" i="31"/>
  <c r="E24" i="31"/>
  <c r="Q23" i="31"/>
  <c r="M23" i="31"/>
  <c r="I23" i="31"/>
  <c r="E23" i="31"/>
  <c r="Q22" i="31"/>
  <c r="M22" i="31"/>
  <c r="I22" i="31"/>
  <c r="E22" i="31"/>
  <c r="I21" i="31"/>
  <c r="S21" i="31" s="1"/>
  <c r="E20" i="31"/>
  <c r="S20" i="31" s="1"/>
  <c r="S31" i="31" l="1"/>
  <c r="S32" i="31"/>
  <c r="S33" i="31"/>
  <c r="S34" i="31"/>
  <c r="S35" i="31"/>
  <c r="S36" i="31"/>
  <c r="S37" i="31"/>
  <c r="S38" i="31"/>
  <c r="S39" i="31"/>
  <c r="S23" i="31"/>
  <c r="S25" i="31"/>
  <c r="S26" i="31"/>
  <c r="S22" i="31"/>
  <c r="S24" i="31"/>
  <c r="S27" i="31"/>
  <c r="S28" i="31"/>
  <c r="O1296" i="13"/>
  <c r="F61" i="9"/>
  <c r="E183" i="2"/>
  <c r="K107" i="38" l="1"/>
  <c r="J107" i="38"/>
  <c r="I107" i="38"/>
  <c r="D107" i="38"/>
  <c r="C107" i="38"/>
  <c r="C36" i="38"/>
  <c r="D36" i="38"/>
  <c r="I36" i="38"/>
  <c r="J36" i="38"/>
  <c r="K36" i="38"/>
  <c r="C60" i="38"/>
  <c r="D60" i="38"/>
  <c r="G60" i="38" s="1"/>
  <c r="I60" i="38"/>
  <c r="J60" i="38"/>
  <c r="K60" i="38"/>
  <c r="C84" i="39"/>
  <c r="D84" i="39"/>
  <c r="I84" i="39"/>
  <c r="J84" i="39"/>
  <c r="K84" i="39"/>
  <c r="G107" i="38" l="1"/>
  <c r="G36" i="38"/>
  <c r="G84" i="39"/>
  <c r="F41" i="9" l="1"/>
  <c r="D41" i="9"/>
  <c r="E39" i="9"/>
  <c r="F40" i="9"/>
  <c r="K59" i="6"/>
  <c r="E59" i="6" s="1"/>
  <c r="E58" i="6"/>
  <c r="J57" i="6"/>
  <c r="K57" i="6" s="1"/>
  <c r="E57" i="6" s="1"/>
  <c r="E56" i="6"/>
  <c r="K55" i="6"/>
  <c r="E55" i="6" s="1"/>
  <c r="K54" i="6"/>
  <c r="E54" i="6"/>
  <c r="K53" i="6"/>
  <c r="E53" i="6" s="1"/>
  <c r="I52" i="6"/>
  <c r="K52" i="6" s="1"/>
  <c r="E52" i="6" s="1"/>
  <c r="I51" i="6"/>
  <c r="K51" i="6" s="1"/>
  <c r="E51" i="6" s="1"/>
  <c r="K50" i="6"/>
  <c r="E50" i="6" s="1"/>
  <c r="K43" i="6"/>
  <c r="E43" i="6" s="1"/>
  <c r="K44" i="6"/>
  <c r="E44" i="6" s="1"/>
  <c r="K45" i="6"/>
  <c r="E45" i="6" s="1"/>
  <c r="K46" i="6"/>
  <c r="E46" i="6" s="1"/>
  <c r="J47" i="6"/>
  <c r="K47" i="6" s="1"/>
  <c r="E47" i="6" s="1"/>
  <c r="K48" i="6"/>
  <c r="E48" i="6" s="1"/>
  <c r="K49" i="6"/>
  <c r="E49" i="6" s="1"/>
  <c r="G44" i="48" l="1"/>
  <c r="J43" i="48"/>
  <c r="I43" i="48"/>
  <c r="H43" i="48"/>
  <c r="G43" i="48"/>
  <c r="F43" i="48"/>
  <c r="D43" i="48"/>
  <c r="M1310" i="13" l="1"/>
  <c r="O1310" i="13"/>
  <c r="P1310" i="13" l="1"/>
  <c r="S119" i="39"/>
  <c r="R119" i="39"/>
  <c r="Q119" i="39"/>
  <c r="O119" i="39"/>
  <c r="N119" i="39"/>
  <c r="M119" i="39"/>
  <c r="G42" i="5" s="1"/>
  <c r="E119" i="39"/>
  <c r="F119" i="39"/>
  <c r="D116" i="39"/>
  <c r="C116" i="39"/>
  <c r="G116" i="39" s="1"/>
  <c r="K116" i="39"/>
  <c r="J116" i="39"/>
  <c r="I116" i="39"/>
  <c r="C106" i="39"/>
  <c r="D106" i="39"/>
  <c r="C107" i="39"/>
  <c r="D107" i="39"/>
  <c r="C108" i="39"/>
  <c r="G108" i="39" s="1"/>
  <c r="D108" i="39"/>
  <c r="C109" i="39"/>
  <c r="D109" i="39"/>
  <c r="G109" i="39" s="1"/>
  <c r="C110" i="39"/>
  <c r="G110" i="39" s="1"/>
  <c r="D110" i="39"/>
  <c r="C111" i="39"/>
  <c r="D111" i="39"/>
  <c r="C112" i="39"/>
  <c r="G112" i="39" s="1"/>
  <c r="D112" i="39"/>
  <c r="C113" i="39"/>
  <c r="D113" i="39"/>
  <c r="C114" i="39"/>
  <c r="D114" i="39"/>
  <c r="C115" i="39"/>
  <c r="D115" i="39"/>
  <c r="D105" i="39"/>
  <c r="C105" i="39"/>
  <c r="C98" i="39"/>
  <c r="D98" i="39"/>
  <c r="I98" i="39"/>
  <c r="J98" i="39"/>
  <c r="K98" i="39"/>
  <c r="C99" i="39"/>
  <c r="G99" i="39" s="1"/>
  <c r="D99" i="39"/>
  <c r="I99" i="39"/>
  <c r="J99" i="39"/>
  <c r="K99" i="39"/>
  <c r="C100" i="39"/>
  <c r="G100" i="39" s="1"/>
  <c r="D100" i="39"/>
  <c r="I100" i="39"/>
  <c r="J100" i="39"/>
  <c r="K100" i="39"/>
  <c r="C101" i="39"/>
  <c r="D101" i="39"/>
  <c r="I101" i="39"/>
  <c r="J101" i="39"/>
  <c r="K101" i="39"/>
  <c r="C102" i="39"/>
  <c r="G102" i="39" s="1"/>
  <c r="D102" i="39"/>
  <c r="I102" i="39"/>
  <c r="J102" i="39"/>
  <c r="K102" i="39"/>
  <c r="C103" i="39"/>
  <c r="D103" i="39"/>
  <c r="I103" i="39"/>
  <c r="J103" i="39"/>
  <c r="K103" i="39"/>
  <c r="C104" i="39"/>
  <c r="D104" i="39"/>
  <c r="I104" i="39"/>
  <c r="J104" i="39"/>
  <c r="K104" i="39"/>
  <c r="S206" i="38"/>
  <c r="R206" i="38"/>
  <c r="Q206" i="38"/>
  <c r="E34" i="5" s="1"/>
  <c r="O206" i="38"/>
  <c r="N206" i="38"/>
  <c r="M206" i="38"/>
  <c r="G34" i="5" s="1"/>
  <c r="E206" i="38"/>
  <c r="F206" i="38"/>
  <c r="D203" i="38"/>
  <c r="G203" i="38" s="1"/>
  <c r="D195" i="38"/>
  <c r="D191" i="38"/>
  <c r="D192" i="38"/>
  <c r="D193" i="38"/>
  <c r="D194" i="38"/>
  <c r="D190" i="38"/>
  <c r="C186" i="38"/>
  <c r="D186" i="38"/>
  <c r="I186" i="38"/>
  <c r="J186" i="38"/>
  <c r="K186" i="38"/>
  <c r="C187" i="38"/>
  <c r="D187" i="38"/>
  <c r="G187" i="38" s="1"/>
  <c r="I187" i="38"/>
  <c r="J187" i="38"/>
  <c r="K187" i="38"/>
  <c r="C184" i="38"/>
  <c r="D184" i="38"/>
  <c r="I184" i="38"/>
  <c r="J184" i="38"/>
  <c r="K184" i="38"/>
  <c r="C185" i="38"/>
  <c r="D185" i="38"/>
  <c r="I185" i="38"/>
  <c r="J185" i="38"/>
  <c r="K185" i="38"/>
  <c r="C182" i="38"/>
  <c r="C183" i="38"/>
  <c r="S82" i="38"/>
  <c r="R82" i="38"/>
  <c r="Q82" i="38"/>
  <c r="O82" i="38"/>
  <c r="N82" i="38"/>
  <c r="M82" i="38"/>
  <c r="C77" i="38"/>
  <c r="D77" i="38"/>
  <c r="D76" i="38"/>
  <c r="C76" i="38"/>
  <c r="G75" i="38"/>
  <c r="I69" i="38"/>
  <c r="J69" i="38"/>
  <c r="K69" i="38"/>
  <c r="I70" i="38"/>
  <c r="J70" i="38"/>
  <c r="K70" i="38"/>
  <c r="I71" i="38"/>
  <c r="J71" i="38"/>
  <c r="K71" i="38"/>
  <c r="I72" i="38"/>
  <c r="J72" i="38"/>
  <c r="K72" i="38"/>
  <c r="I75" i="38"/>
  <c r="J75" i="38"/>
  <c r="K75" i="38"/>
  <c r="I76" i="38"/>
  <c r="J76" i="38"/>
  <c r="K76" i="38"/>
  <c r="I77" i="38"/>
  <c r="J77" i="38"/>
  <c r="K77" i="38"/>
  <c r="I78" i="38"/>
  <c r="J78" i="38"/>
  <c r="K78" i="38"/>
  <c r="C69" i="38"/>
  <c r="D69" i="38"/>
  <c r="C70" i="38"/>
  <c r="D70" i="38"/>
  <c r="C71" i="38"/>
  <c r="D71" i="38"/>
  <c r="C72" i="38"/>
  <c r="D72" i="38"/>
  <c r="C75" i="38"/>
  <c r="D75" i="38"/>
  <c r="C78" i="38"/>
  <c r="E78" i="38" s="1"/>
  <c r="D78" i="38"/>
  <c r="F78" i="38" s="1"/>
  <c r="F81" i="38" s="1"/>
  <c r="D21" i="38"/>
  <c r="C21" i="38"/>
  <c r="G21" i="38" s="1"/>
  <c r="I31" i="30"/>
  <c r="I30" i="30"/>
  <c r="E51" i="9"/>
  <c r="E52" i="9"/>
  <c r="E53" i="9"/>
  <c r="E54" i="9"/>
  <c r="E55" i="9"/>
  <c r="E56" i="9"/>
  <c r="E57" i="9"/>
  <c r="E58" i="9"/>
  <c r="E59" i="9"/>
  <c r="O1280" i="13"/>
  <c r="M1280" i="13"/>
  <c r="O1279" i="13"/>
  <c r="M1279" i="13"/>
  <c r="O1278" i="13"/>
  <c r="M1278" i="13"/>
  <c r="O1277" i="13"/>
  <c r="M1277" i="13"/>
  <c r="O1276" i="13"/>
  <c r="M1276" i="13"/>
  <c r="O1275" i="13"/>
  <c r="M1275" i="13"/>
  <c r="O1274" i="13"/>
  <c r="M1274" i="13"/>
  <c r="O1273" i="13"/>
  <c r="M1273" i="13"/>
  <c r="O1272" i="13"/>
  <c r="M1272" i="13"/>
  <c r="O1271" i="13"/>
  <c r="M1271" i="13"/>
  <c r="O1270" i="13"/>
  <c r="M1270" i="13"/>
  <c r="O1269" i="13"/>
  <c r="M1269" i="13"/>
  <c r="O1268" i="13"/>
  <c r="M1268" i="13"/>
  <c r="O1267" i="13"/>
  <c r="M1267" i="13"/>
  <c r="O1266" i="13"/>
  <c r="M1266" i="13"/>
  <c r="O1265" i="13"/>
  <c r="M1265" i="13"/>
  <c r="O1264" i="13"/>
  <c r="M1264" i="13"/>
  <c r="O1263" i="13"/>
  <c r="M1263" i="13"/>
  <c r="O1262" i="13"/>
  <c r="M1262" i="13"/>
  <c r="O1261" i="13"/>
  <c r="M1261" i="13"/>
  <c r="O1260" i="13"/>
  <c r="M1260" i="13"/>
  <c r="O1259" i="13"/>
  <c r="M1259" i="13"/>
  <c r="O1258" i="13"/>
  <c r="M1258" i="13"/>
  <c r="O1257" i="13"/>
  <c r="M1257" i="13"/>
  <c r="O1256" i="13"/>
  <c r="M1256" i="13"/>
  <c r="O1255" i="13"/>
  <c r="M1255" i="13"/>
  <c r="O1254" i="13"/>
  <c r="M1254" i="13"/>
  <c r="O1253" i="13"/>
  <c r="M1253" i="13"/>
  <c r="O1252" i="13"/>
  <c r="M1252" i="13"/>
  <c r="O1251" i="13"/>
  <c r="M1251" i="13"/>
  <c r="O1250" i="13"/>
  <c r="M1250" i="13"/>
  <c r="O1249" i="13"/>
  <c r="M1249" i="13"/>
  <c r="O1248" i="13"/>
  <c r="M1248" i="13"/>
  <c r="O1247" i="13"/>
  <c r="M1247" i="13"/>
  <c r="O1246" i="13"/>
  <c r="M1246" i="13"/>
  <c r="O1245" i="13"/>
  <c r="M1245" i="13"/>
  <c r="O1244" i="13"/>
  <c r="M1244" i="13"/>
  <c r="O1243" i="13"/>
  <c r="M1243" i="13"/>
  <c r="O1242" i="13"/>
  <c r="M1242" i="13"/>
  <c r="O1241" i="13"/>
  <c r="M1241" i="13"/>
  <c r="O1240" i="13"/>
  <c r="M1240" i="13"/>
  <c r="O1239" i="13"/>
  <c r="M1239" i="13"/>
  <c r="O1238" i="13"/>
  <c r="M1238" i="13"/>
  <c r="O1237" i="13"/>
  <c r="M1237" i="13"/>
  <c r="O1236" i="13"/>
  <c r="M1236" i="13"/>
  <c r="O1235" i="13"/>
  <c r="M1235" i="13"/>
  <c r="O1234" i="13"/>
  <c r="M1234" i="13"/>
  <c r="O1233" i="13"/>
  <c r="M1233" i="13"/>
  <c r="O1232" i="13"/>
  <c r="M1232" i="13"/>
  <c r="O1231" i="13"/>
  <c r="M1231" i="13"/>
  <c r="O1230" i="13"/>
  <c r="M1230" i="13"/>
  <c r="O1229" i="13"/>
  <c r="M1229" i="13"/>
  <c r="O1228" i="13"/>
  <c r="M1228" i="13"/>
  <c r="O1227" i="13"/>
  <c r="M1227" i="13"/>
  <c r="O1226" i="13"/>
  <c r="M1226" i="13"/>
  <c r="O1225" i="13"/>
  <c r="M1225" i="13"/>
  <c r="O1222" i="13"/>
  <c r="M1222" i="13"/>
  <c r="D1221" i="13"/>
  <c r="C1221" i="13"/>
  <c r="C1222" i="13" s="1"/>
  <c r="C1223" i="13" s="1"/>
  <c r="C1224" i="13" s="1"/>
  <c r="C1225" i="13" s="1"/>
  <c r="C1226" i="13" s="1"/>
  <c r="C1227" i="13" s="1"/>
  <c r="C1228" i="13" s="1"/>
  <c r="C1229" i="13" s="1"/>
  <c r="C1230" i="13" s="1"/>
  <c r="C1231" i="13" s="1"/>
  <c r="C1232" i="13" s="1"/>
  <c r="C1233" i="13" s="1"/>
  <c r="C1234" i="13" s="1"/>
  <c r="C1235" i="13" s="1"/>
  <c r="C1236" i="13" s="1"/>
  <c r="C1237" i="13" s="1"/>
  <c r="C1238" i="13" s="1"/>
  <c r="C1239" i="13" s="1"/>
  <c r="C1240" i="13" s="1"/>
  <c r="C1241" i="13" s="1"/>
  <c r="C1242" i="13" s="1"/>
  <c r="C1243" i="13" s="1"/>
  <c r="C1244" i="13" s="1"/>
  <c r="C1245" i="13" s="1"/>
  <c r="C1246" i="13" s="1"/>
  <c r="C1247" i="13" s="1"/>
  <c r="C1248" i="13" s="1"/>
  <c r="C1249" i="13" s="1"/>
  <c r="C1250" i="13" s="1"/>
  <c r="L1216" i="13"/>
  <c r="L1208" i="13"/>
  <c r="P1202" i="13"/>
  <c r="O1202" i="13"/>
  <c r="G10" i="41"/>
  <c r="E67" i="9"/>
  <c r="O1193" i="13"/>
  <c r="M1193" i="13"/>
  <c r="O1192" i="13"/>
  <c r="M1192" i="13"/>
  <c r="O1191" i="13"/>
  <c r="M1191" i="13"/>
  <c r="O1190" i="13"/>
  <c r="M1190" i="13"/>
  <c r="O1189" i="13"/>
  <c r="M1189" i="13"/>
  <c r="O1188" i="13"/>
  <c r="M1188" i="13"/>
  <c r="O1187" i="13"/>
  <c r="M1187" i="13"/>
  <c r="O1186" i="13"/>
  <c r="M1186" i="13"/>
  <c r="O1185" i="13"/>
  <c r="M1185" i="13"/>
  <c r="O1184" i="13"/>
  <c r="M1184" i="13"/>
  <c r="O1183" i="13"/>
  <c r="M1183" i="13"/>
  <c r="O1182" i="13"/>
  <c r="M1182" i="13"/>
  <c r="O1181" i="13"/>
  <c r="M1181" i="13"/>
  <c r="O1180" i="13"/>
  <c r="M1180" i="13"/>
  <c r="O1179" i="13"/>
  <c r="M1179" i="13"/>
  <c r="O1178" i="13"/>
  <c r="M1178" i="13"/>
  <c r="O1177" i="13"/>
  <c r="M1177" i="13"/>
  <c r="O1176" i="13"/>
  <c r="M1176" i="13"/>
  <c r="O1175" i="13"/>
  <c r="M1175" i="13"/>
  <c r="O1174" i="13"/>
  <c r="M1174" i="13"/>
  <c r="O1173" i="13"/>
  <c r="M1173" i="13"/>
  <c r="O1172" i="13"/>
  <c r="M1172" i="13"/>
  <c r="O1171" i="13"/>
  <c r="M1171" i="13"/>
  <c r="O1170" i="13"/>
  <c r="M1170" i="13"/>
  <c r="O1169" i="13"/>
  <c r="M1169" i="13"/>
  <c r="O1168" i="13"/>
  <c r="M1168" i="13"/>
  <c r="O1167" i="13"/>
  <c r="M1167" i="13"/>
  <c r="O1166" i="13"/>
  <c r="M1166" i="13"/>
  <c r="O1165" i="13"/>
  <c r="M1165" i="13"/>
  <c r="O1164" i="13"/>
  <c r="M1164" i="13"/>
  <c r="O1163" i="13"/>
  <c r="M1163" i="13"/>
  <c r="O1162" i="13"/>
  <c r="M1162" i="13"/>
  <c r="O1161" i="13"/>
  <c r="M1161" i="13"/>
  <c r="O1160" i="13"/>
  <c r="M1160" i="13"/>
  <c r="O1159" i="13"/>
  <c r="M1159" i="13"/>
  <c r="O1158" i="13"/>
  <c r="M1158" i="13"/>
  <c r="O1157" i="13"/>
  <c r="M1157" i="13"/>
  <c r="O1156" i="13"/>
  <c r="M1156" i="13"/>
  <c r="O1155" i="13"/>
  <c r="M1155" i="13"/>
  <c r="O1154" i="13"/>
  <c r="M1154" i="13"/>
  <c r="O1153" i="13"/>
  <c r="M1153" i="13"/>
  <c r="O1152" i="13"/>
  <c r="M1152" i="13"/>
  <c r="O1151" i="13"/>
  <c r="M1151" i="13"/>
  <c r="O1150" i="13"/>
  <c r="M1150" i="13"/>
  <c r="O1149" i="13"/>
  <c r="M1149" i="13"/>
  <c r="O1148" i="13"/>
  <c r="M1148" i="13"/>
  <c r="O1147" i="13"/>
  <c r="M1147" i="13"/>
  <c r="O1146" i="13"/>
  <c r="M1146" i="13"/>
  <c r="O1145" i="13"/>
  <c r="M1145" i="13"/>
  <c r="O1144" i="13"/>
  <c r="M1144" i="13"/>
  <c r="O1143" i="13"/>
  <c r="M1143" i="13"/>
  <c r="O1142" i="13"/>
  <c r="M1142" i="13"/>
  <c r="O1141" i="13"/>
  <c r="M1141" i="13"/>
  <c r="O1140" i="13"/>
  <c r="M1140" i="13"/>
  <c r="O1139" i="13"/>
  <c r="M1139" i="13"/>
  <c r="O1138" i="13"/>
  <c r="M1138" i="13"/>
  <c r="O1137" i="13"/>
  <c r="M1137" i="13"/>
  <c r="D1134" i="13"/>
  <c r="C1134" i="13"/>
  <c r="C1135" i="13" s="1"/>
  <c r="C1136" i="13" s="1"/>
  <c r="C1137" i="13" s="1"/>
  <c r="C1138" i="13" s="1"/>
  <c r="C1139" i="13" s="1"/>
  <c r="C1140" i="13" s="1"/>
  <c r="C1141" i="13" s="1"/>
  <c r="C1142" i="13" s="1"/>
  <c r="C1143" i="13" s="1"/>
  <c r="C1144" i="13"/>
  <c r="C1145" i="13" s="1"/>
  <c r="C1146" i="13" s="1"/>
  <c r="C1147" i="13" s="1"/>
  <c r="C1148" i="13"/>
  <c r="C1149" i="13" s="1"/>
  <c r="C1150" i="13" s="1"/>
  <c r="C1151" i="13" s="1"/>
  <c r="C1152" i="13" s="1"/>
  <c r="C1153" i="13" s="1"/>
  <c r="C1154" i="13" s="1"/>
  <c r="C1155" i="13" s="1"/>
  <c r="C1156" i="13" s="1"/>
  <c r="C1157" i="13" s="1"/>
  <c r="C1158" i="13" s="1"/>
  <c r="C1159" i="13" s="1"/>
  <c r="C1160" i="13" s="1"/>
  <c r="C1161" i="13" s="1"/>
  <c r="C1162" i="13" s="1"/>
  <c r="C1163" i="13" s="1"/>
  <c r="L1129" i="13"/>
  <c r="L1121" i="13"/>
  <c r="P1115" i="13"/>
  <c r="O1115" i="13"/>
  <c r="O1107" i="13"/>
  <c r="M1107" i="13"/>
  <c r="O1106" i="13"/>
  <c r="M1106" i="13"/>
  <c r="O1105" i="13"/>
  <c r="M1105" i="13"/>
  <c r="O1104" i="13"/>
  <c r="M1104" i="13"/>
  <c r="O1103" i="13"/>
  <c r="M1103" i="13"/>
  <c r="O1102" i="13"/>
  <c r="M1102" i="13"/>
  <c r="O1101" i="13"/>
  <c r="M1101" i="13"/>
  <c r="O1100" i="13"/>
  <c r="M1100" i="13"/>
  <c r="O1099" i="13"/>
  <c r="M1099" i="13"/>
  <c r="O1098" i="13"/>
  <c r="M1098" i="13"/>
  <c r="O1097" i="13"/>
  <c r="M1097" i="13"/>
  <c r="O1096" i="13"/>
  <c r="M1096" i="13"/>
  <c r="O1095" i="13"/>
  <c r="M1095" i="13"/>
  <c r="O1094" i="13"/>
  <c r="M1094" i="13"/>
  <c r="O1093" i="13"/>
  <c r="M1093" i="13"/>
  <c r="O1092" i="13"/>
  <c r="M1092" i="13"/>
  <c r="O1091" i="13"/>
  <c r="M1091" i="13"/>
  <c r="O1090" i="13"/>
  <c r="M1090" i="13"/>
  <c r="O1089" i="13"/>
  <c r="M1089" i="13"/>
  <c r="O1088" i="13"/>
  <c r="M1088" i="13"/>
  <c r="O1087" i="13"/>
  <c r="M1087" i="13"/>
  <c r="O1086" i="13"/>
  <c r="M1086" i="13"/>
  <c r="O1085" i="13"/>
  <c r="M1085" i="13"/>
  <c r="O1084" i="13"/>
  <c r="M1084" i="13"/>
  <c r="O1083" i="13"/>
  <c r="M1083" i="13"/>
  <c r="O1082" i="13"/>
  <c r="M1082" i="13"/>
  <c r="O1081" i="13"/>
  <c r="M1081" i="13"/>
  <c r="O1080" i="13"/>
  <c r="M1080" i="13"/>
  <c r="O1079" i="13"/>
  <c r="M1079" i="13"/>
  <c r="O1078" i="13"/>
  <c r="M1078" i="13"/>
  <c r="O1077" i="13"/>
  <c r="M1077" i="13"/>
  <c r="O1076" i="13"/>
  <c r="M1076" i="13"/>
  <c r="O1075" i="13"/>
  <c r="M1075" i="13"/>
  <c r="O1074" i="13"/>
  <c r="M1074" i="13"/>
  <c r="O1073" i="13"/>
  <c r="M1073" i="13"/>
  <c r="O1072" i="13"/>
  <c r="M1072" i="13"/>
  <c r="O1071" i="13"/>
  <c r="M1071" i="13"/>
  <c r="O1070" i="13"/>
  <c r="M1070" i="13"/>
  <c r="O1069" i="13"/>
  <c r="M1069" i="13"/>
  <c r="O1068" i="13"/>
  <c r="M1068" i="13"/>
  <c r="O1067" i="13"/>
  <c r="M1067" i="13"/>
  <c r="O1066" i="13"/>
  <c r="M1066" i="13"/>
  <c r="O1065" i="13"/>
  <c r="M1065" i="13"/>
  <c r="O1064" i="13"/>
  <c r="M1064" i="13"/>
  <c r="O1063" i="13"/>
  <c r="M1063" i="13"/>
  <c r="O1062" i="13"/>
  <c r="M1062" i="13"/>
  <c r="O1061" i="13"/>
  <c r="M1061" i="13"/>
  <c r="O1060" i="13"/>
  <c r="M1060" i="13"/>
  <c r="O1059" i="13"/>
  <c r="M1059" i="13"/>
  <c r="O1058" i="13"/>
  <c r="M1058" i="13"/>
  <c r="O1057" i="13"/>
  <c r="M1057" i="13"/>
  <c r="O1056" i="13"/>
  <c r="M1056" i="13"/>
  <c r="O1055" i="13"/>
  <c r="M1055" i="13"/>
  <c r="O1054" i="13"/>
  <c r="M1054" i="13"/>
  <c r="O1053" i="13"/>
  <c r="M1053" i="13"/>
  <c r="O1052" i="13"/>
  <c r="M1052" i="13"/>
  <c r="D1048" i="13"/>
  <c r="C1048" i="13"/>
  <c r="C1049" i="13" s="1"/>
  <c r="C1050" i="13"/>
  <c r="C1051" i="13" s="1"/>
  <c r="C1052" i="13" s="1"/>
  <c r="C1053" i="13" s="1"/>
  <c r="C1054" i="13"/>
  <c r="C1055" i="13" s="1"/>
  <c r="C1056" i="13" s="1"/>
  <c r="C1057" i="13" s="1"/>
  <c r="C1058" i="13" s="1"/>
  <c r="C1059" i="13" s="1"/>
  <c r="C1060" i="13" s="1"/>
  <c r="C1061" i="13" s="1"/>
  <c r="C1062" i="13" s="1"/>
  <c r="C1063" i="13" s="1"/>
  <c r="C1064" i="13" s="1"/>
  <c r="C1065" i="13" s="1"/>
  <c r="C1066" i="13"/>
  <c r="C1067" i="13" s="1"/>
  <c r="C1068" i="13" s="1"/>
  <c r="C1069" i="13" s="1"/>
  <c r="C1070" i="13"/>
  <c r="C1071" i="13" s="1"/>
  <c r="C1072" i="13" s="1"/>
  <c r="C1073" i="13" s="1"/>
  <c r="C1074" i="13" s="1"/>
  <c r="C1075" i="13" s="1"/>
  <c r="C1076" i="13" s="1"/>
  <c r="C1077" i="13" s="1"/>
  <c r="L1043" i="13"/>
  <c r="L1035" i="13"/>
  <c r="P1029" i="13"/>
  <c r="O1029" i="13"/>
  <c r="O1021" i="13"/>
  <c r="M1021" i="13"/>
  <c r="O1020" i="13"/>
  <c r="M1020" i="13"/>
  <c r="O1019" i="13"/>
  <c r="M1019" i="13"/>
  <c r="O1018" i="13"/>
  <c r="M1018" i="13"/>
  <c r="O1017" i="13"/>
  <c r="M1017" i="13"/>
  <c r="O1016" i="13"/>
  <c r="M1016" i="13"/>
  <c r="O1015" i="13"/>
  <c r="M1015" i="13"/>
  <c r="O1014" i="13"/>
  <c r="M1014" i="13"/>
  <c r="O1013" i="13"/>
  <c r="M1013" i="13"/>
  <c r="O1012" i="13"/>
  <c r="M1012" i="13"/>
  <c r="O1011" i="13"/>
  <c r="M1011" i="13"/>
  <c r="O1010" i="13"/>
  <c r="M1010" i="13"/>
  <c r="O1009" i="13"/>
  <c r="M1009" i="13"/>
  <c r="O1008" i="13"/>
  <c r="M1008" i="13"/>
  <c r="O1007" i="13"/>
  <c r="M1007" i="13"/>
  <c r="O1006" i="13"/>
  <c r="M1006" i="13"/>
  <c r="O1005" i="13"/>
  <c r="M1005" i="13"/>
  <c r="O1004" i="13"/>
  <c r="M1004" i="13"/>
  <c r="O1003" i="13"/>
  <c r="M1003" i="13"/>
  <c r="O1002" i="13"/>
  <c r="M1002" i="13"/>
  <c r="O1001" i="13"/>
  <c r="M1001" i="13"/>
  <c r="O1000" i="13"/>
  <c r="M1000" i="13"/>
  <c r="O999" i="13"/>
  <c r="M999" i="13"/>
  <c r="O998" i="13"/>
  <c r="M998" i="13"/>
  <c r="O997" i="13"/>
  <c r="M997" i="13"/>
  <c r="O996" i="13"/>
  <c r="M996" i="13"/>
  <c r="O995" i="13"/>
  <c r="M995" i="13"/>
  <c r="O994" i="13"/>
  <c r="M994" i="13"/>
  <c r="O993" i="13"/>
  <c r="M993" i="13"/>
  <c r="O992" i="13"/>
  <c r="M992" i="13"/>
  <c r="O991" i="13"/>
  <c r="M991" i="13"/>
  <c r="O990" i="13"/>
  <c r="M990" i="13"/>
  <c r="O989" i="13"/>
  <c r="M989" i="13"/>
  <c r="O988" i="13"/>
  <c r="M988" i="13"/>
  <c r="O987" i="13"/>
  <c r="M987" i="13"/>
  <c r="O986" i="13"/>
  <c r="M986" i="13"/>
  <c r="O985" i="13"/>
  <c r="M985" i="13"/>
  <c r="O984" i="13"/>
  <c r="M984" i="13"/>
  <c r="O983" i="13"/>
  <c r="M983" i="13"/>
  <c r="O982" i="13"/>
  <c r="M982" i="13"/>
  <c r="O981" i="13"/>
  <c r="M981" i="13"/>
  <c r="O980" i="13"/>
  <c r="M980" i="13"/>
  <c r="O979" i="13"/>
  <c r="M979" i="13"/>
  <c r="O978" i="13"/>
  <c r="M978" i="13"/>
  <c r="O977" i="13"/>
  <c r="M977" i="13"/>
  <c r="O976" i="13"/>
  <c r="M976" i="13"/>
  <c r="O975" i="13"/>
  <c r="M975" i="13"/>
  <c r="O974" i="13"/>
  <c r="M974" i="13"/>
  <c r="O973" i="13"/>
  <c r="M973" i="13"/>
  <c r="O972" i="13"/>
  <c r="M972" i="13"/>
  <c r="O971" i="13"/>
  <c r="M971" i="13"/>
  <c r="O970" i="13"/>
  <c r="M970" i="13"/>
  <c r="O969" i="13"/>
  <c r="M969" i="13"/>
  <c r="D962" i="13"/>
  <c r="C962" i="13"/>
  <c r="C963" i="13"/>
  <c r="C964" i="13" s="1"/>
  <c r="C965" i="13" s="1"/>
  <c r="C966" i="13" s="1"/>
  <c r="C967" i="13"/>
  <c r="C968" i="13" s="1"/>
  <c r="C969" i="13" s="1"/>
  <c r="C970" i="13" s="1"/>
  <c r="C971" i="13"/>
  <c r="C972" i="13" s="1"/>
  <c r="C973" i="13" s="1"/>
  <c r="C974" i="13" s="1"/>
  <c r="C975" i="13" s="1"/>
  <c r="C976" i="13" s="1"/>
  <c r="C977" i="13" s="1"/>
  <c r="C978" i="13" s="1"/>
  <c r="C979" i="13" s="1"/>
  <c r="C980" i="13" s="1"/>
  <c r="C981" i="13" s="1"/>
  <c r="C982" i="13" s="1"/>
  <c r="C983" i="13" s="1"/>
  <c r="C984" i="13" s="1"/>
  <c r="C985" i="13" s="1"/>
  <c r="C986" i="13" s="1"/>
  <c r="C987" i="13" s="1"/>
  <c r="C988" i="13" s="1"/>
  <c r="C989" i="13" s="1"/>
  <c r="C990" i="13" s="1"/>
  <c r="C991" i="13" s="1"/>
  <c r="L957" i="13"/>
  <c r="L949" i="13"/>
  <c r="P943" i="13"/>
  <c r="O943"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9" i="13"/>
  <c r="M889" i="13"/>
  <c r="O888" i="13"/>
  <c r="M888" i="13"/>
  <c r="O887" i="13"/>
  <c r="M887" i="13"/>
  <c r="O886" i="13"/>
  <c r="M886" i="13"/>
  <c r="O885" i="13"/>
  <c r="M885" i="13"/>
  <c r="O884" i="13"/>
  <c r="M884" i="13"/>
  <c r="O883" i="13"/>
  <c r="M883" i="13"/>
  <c r="O882" i="13"/>
  <c r="M882" i="13"/>
  <c r="O881" i="13"/>
  <c r="M881" i="13"/>
  <c r="D876" i="13"/>
  <c r="C876" i="13"/>
  <c r="C877" i="13" s="1"/>
  <c r="C878" i="13"/>
  <c r="C879" i="13"/>
  <c r="C880" i="13" s="1"/>
  <c r="C881" i="13" s="1"/>
  <c r="C882" i="13"/>
  <c r="C883" i="13" s="1"/>
  <c r="C884" i="13" s="1"/>
  <c r="C885" i="13" s="1"/>
  <c r="C886" i="13" s="1"/>
  <c r="C887" i="13"/>
  <c r="C888" i="13" s="1"/>
  <c r="C889" i="13" s="1"/>
  <c r="C890" i="13" s="1"/>
  <c r="C891" i="13" s="1"/>
  <c r="C892" i="13" s="1"/>
  <c r="C893" i="13" s="1"/>
  <c r="C894" i="13" s="1"/>
  <c r="C895" i="13" s="1"/>
  <c r="C896" i="13" s="1"/>
  <c r="C897" i="13" s="1"/>
  <c r="C898" i="13"/>
  <c r="C899" i="13" s="1"/>
  <c r="C900" i="13" s="1"/>
  <c r="C901" i="13" s="1"/>
  <c r="C902" i="13" s="1"/>
  <c r="C903" i="13" s="1"/>
  <c r="C904" i="13" s="1"/>
  <c r="C905" i="13" s="1"/>
  <c r="L871" i="13"/>
  <c r="L863" i="13"/>
  <c r="P857" i="13"/>
  <c r="O857"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O802" i="13"/>
  <c r="M802" i="13"/>
  <c r="O801" i="13"/>
  <c r="M801" i="13"/>
  <c r="O800" i="13"/>
  <c r="M800" i="13"/>
  <c r="O799" i="13"/>
  <c r="M799" i="13"/>
  <c r="O798" i="13"/>
  <c r="M798" i="13"/>
  <c r="O797" i="13"/>
  <c r="M797" i="13"/>
  <c r="D790" i="13"/>
  <c r="C790" i="13"/>
  <c r="C791" i="13"/>
  <c r="C792" i="13" s="1"/>
  <c r="C793" i="13" s="1"/>
  <c r="C794" i="13"/>
  <c r="C795" i="13" s="1"/>
  <c r="C796" i="13" s="1"/>
  <c r="C797" i="13" s="1"/>
  <c r="C798" i="13" s="1"/>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M778" i="13" s="1"/>
  <c r="L785" i="13"/>
  <c r="L777" i="13"/>
  <c r="P771" i="13"/>
  <c r="O771"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O715" i="13"/>
  <c r="M715" i="13"/>
  <c r="O714" i="13"/>
  <c r="M714" i="13"/>
  <c r="O713" i="13"/>
  <c r="M713" i="13"/>
  <c r="O712" i="13"/>
  <c r="M712" i="13"/>
  <c r="O711" i="13"/>
  <c r="M711" i="13"/>
  <c r="O710" i="13"/>
  <c r="M710" i="13"/>
  <c r="D704" i="13"/>
  <c r="C704" i="13"/>
  <c r="C705" i="13"/>
  <c r="C706" i="13" s="1"/>
  <c r="C707" i="13" s="1"/>
  <c r="C708" i="13" s="1"/>
  <c r="C709" i="13" s="1"/>
  <c r="C710" i="13" s="1"/>
  <c r="C711" i="13" s="1"/>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L699" i="13"/>
  <c r="L691" i="13"/>
  <c r="P685" i="13"/>
  <c r="O685"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O629" i="13"/>
  <c r="M629" i="13"/>
  <c r="O628" i="13"/>
  <c r="M628" i="13"/>
  <c r="O627" i="13"/>
  <c r="M627" i="13"/>
  <c r="O626" i="13"/>
  <c r="M626" i="13"/>
  <c r="O625" i="13"/>
  <c r="M625" i="13"/>
  <c r="O624" i="13"/>
  <c r="M624" i="13"/>
  <c r="O623" i="13"/>
  <c r="M623" i="13"/>
  <c r="D618" i="13"/>
  <c r="C618" i="13"/>
  <c r="C619" i="13" s="1"/>
  <c r="C620" i="13" s="1"/>
  <c r="C621" i="13" s="1"/>
  <c r="C622" i="13" s="1"/>
  <c r="C623" i="13" s="1"/>
  <c r="C624" i="13" s="1"/>
  <c r="C625" i="13" s="1"/>
  <c r="C626" i="13" s="1"/>
  <c r="C627" i="13" s="1"/>
  <c r="C628" i="13" s="1"/>
  <c r="C629" i="13" s="1"/>
  <c r="C630" i="13" s="1"/>
  <c r="C631" i="13" s="1"/>
  <c r="C632" i="13" s="1"/>
  <c r="C633" i="13"/>
  <c r="C634" i="13" s="1"/>
  <c r="C635" i="13" s="1"/>
  <c r="C636" i="13" s="1"/>
  <c r="C637" i="13" s="1"/>
  <c r="C638" i="13" s="1"/>
  <c r="C639" i="13" s="1"/>
  <c r="C640" i="13" s="1"/>
  <c r="C641" i="13" s="1"/>
  <c r="C642" i="13" s="1"/>
  <c r="C643" i="13" s="1"/>
  <c r="C644" i="13" s="1"/>
  <c r="C645" i="13" s="1"/>
  <c r="C646" i="13" s="1"/>
  <c r="C647" i="13" s="1"/>
  <c r="L613" i="13"/>
  <c r="L605" i="13"/>
  <c r="P599" i="13"/>
  <c r="O599"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O542" i="13"/>
  <c r="M542" i="13"/>
  <c r="O541" i="13"/>
  <c r="M541" i="13"/>
  <c r="O540" i="13"/>
  <c r="M540" i="13"/>
  <c r="O539" i="13"/>
  <c r="M539" i="13"/>
  <c r="O538" i="13"/>
  <c r="M538" i="13"/>
  <c r="O537" i="13"/>
  <c r="M537" i="13"/>
  <c r="D532" i="13"/>
  <c r="C532" i="13"/>
  <c r="C533" i="13" s="1"/>
  <c r="C534" i="13" s="1"/>
  <c r="C535" i="13" s="1"/>
  <c r="C536" i="13" s="1"/>
  <c r="C537" i="13" s="1"/>
  <c r="C538" i="13" s="1"/>
  <c r="C539" i="13"/>
  <c r="C540" i="13"/>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L527" i="13"/>
  <c r="L519" i="13"/>
  <c r="P513" i="13"/>
  <c r="O513"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O457" i="13"/>
  <c r="M457" i="13"/>
  <c r="O456" i="13"/>
  <c r="M456" i="13"/>
  <c r="O455" i="13"/>
  <c r="M455" i="13"/>
  <c r="O454" i="13"/>
  <c r="M454" i="13"/>
  <c r="O453" i="13"/>
  <c r="M453" i="13"/>
  <c r="O452" i="13"/>
  <c r="M452" i="13"/>
  <c r="D446" i="13"/>
  <c r="C446" i="13"/>
  <c r="C447" i="13"/>
  <c r="C448" i="13" s="1"/>
  <c r="C449" i="13" s="1"/>
  <c r="C450" i="13" s="1"/>
  <c r="C451" i="13" s="1"/>
  <c r="C452" i="13" s="1"/>
  <c r="C453" i="13" s="1"/>
  <c r="C454" i="13"/>
  <c r="C455" i="13" s="1"/>
  <c r="C456" i="13" s="1"/>
  <c r="C457" i="13" s="1"/>
  <c r="C458" i="13" s="1"/>
  <c r="C459" i="13" s="1"/>
  <c r="C460" i="13" s="1"/>
  <c r="C461" i="13" s="1"/>
  <c r="C462" i="13" s="1"/>
  <c r="C463" i="13"/>
  <c r="C464" i="13" s="1"/>
  <c r="C465" i="13" s="1"/>
  <c r="C466" i="13" s="1"/>
  <c r="C467" i="13" s="1"/>
  <c r="C468" i="13" s="1"/>
  <c r="C469" i="13" s="1"/>
  <c r="C470" i="13" s="1"/>
  <c r="C471" i="13" s="1"/>
  <c r="C472" i="13" s="1"/>
  <c r="C473" i="13" s="1"/>
  <c r="C474" i="13" s="1"/>
  <c r="C475" i="13" s="1"/>
  <c r="L441" i="13"/>
  <c r="L433" i="13"/>
  <c r="P427" i="13"/>
  <c r="O427"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O369" i="13"/>
  <c r="M369" i="13"/>
  <c r="O368" i="13"/>
  <c r="M368" i="13"/>
  <c r="O367" i="13"/>
  <c r="M367" i="13"/>
  <c r="C363" i="13"/>
  <c r="C364" i="13"/>
  <c r="C365" i="13" s="1"/>
  <c r="C366" i="13" s="1"/>
  <c r="C367" i="13" s="1"/>
  <c r="C368" i="13" s="1"/>
  <c r="C369" i="13" s="1"/>
  <c r="C370" i="13" s="1"/>
  <c r="C371" i="13"/>
  <c r="C372" i="13"/>
  <c r="C373" i="13" s="1"/>
  <c r="C374" i="13" s="1"/>
  <c r="C375" i="13" s="1"/>
  <c r="C376" i="13" s="1"/>
  <c r="C377" i="13" s="1"/>
  <c r="C378" i="13" s="1"/>
  <c r="C379" i="13" s="1"/>
  <c r="C380" i="13" s="1"/>
  <c r="C381" i="13" s="1"/>
  <c r="C382" i="13" s="1"/>
  <c r="C383" i="13" s="1"/>
  <c r="C384" i="13" s="1"/>
  <c r="C385" i="13" s="1"/>
  <c r="C386" i="13" s="1"/>
  <c r="C387" i="13" s="1"/>
  <c r="C388" i="13" s="1"/>
  <c r="C389" i="13" s="1"/>
  <c r="N348" i="13" s="1"/>
  <c r="D360" i="13"/>
  <c r="C360" i="13"/>
  <c r="C361" i="13" s="1"/>
  <c r="C362" i="13" s="1"/>
  <c r="L355" i="13"/>
  <c r="L347" i="13"/>
  <c r="P341" i="13"/>
  <c r="O341"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O284" i="13"/>
  <c r="M284" i="13"/>
  <c r="O283" i="13"/>
  <c r="M283" i="13"/>
  <c r="O282" i="13"/>
  <c r="M282" i="13"/>
  <c r="D274" i="13"/>
  <c r="C274" i="13"/>
  <c r="C275" i="13"/>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c r="C303" i="13" s="1"/>
  <c r="C304" i="13" s="1"/>
  <c r="C305" i="13" s="1"/>
  <c r="C306" i="13" s="1"/>
  <c r="L269" i="13"/>
  <c r="L261" i="13"/>
  <c r="P255" i="13"/>
  <c r="O255" i="13"/>
  <c r="O247" i="13"/>
  <c r="M247"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O188" i="13"/>
  <c r="M188" i="13"/>
  <c r="D188" i="13"/>
  <c r="C188" i="13"/>
  <c r="C189" i="13"/>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L183" i="13"/>
  <c r="L175" i="13"/>
  <c r="P169" i="13"/>
  <c r="O169" i="13"/>
  <c r="D294" i="2"/>
  <c r="D350" i="2"/>
  <c r="E18" i="5"/>
  <c r="I18" i="5" s="1"/>
  <c r="D1171" i="20"/>
  <c r="C1171" i="20"/>
  <c r="C1172" i="20"/>
  <c r="C1173" i="20" s="1"/>
  <c r="C1174" i="20" s="1"/>
  <c r="C1175" i="20" s="1"/>
  <c r="C1176" i="20" s="1"/>
  <c r="C1177" i="20" s="1"/>
  <c r="C1178" i="20" s="1"/>
  <c r="C1179" i="20"/>
  <c r="C1180" i="20" s="1"/>
  <c r="C1181" i="20" s="1"/>
  <c r="C1182" i="20" s="1"/>
  <c r="C1183" i="20" s="1"/>
  <c r="C1184" i="20" s="1"/>
  <c r="C1185" i="20" s="1"/>
  <c r="C1186" i="20" s="1"/>
  <c r="C1187" i="20" s="1"/>
  <c r="C1188" i="20" s="1"/>
  <c r="C1189" i="20" s="1"/>
  <c r="C1190" i="20" s="1"/>
  <c r="C1191" i="20" s="1"/>
  <c r="C1192" i="20" s="1"/>
  <c r="C1193" i="20" s="1"/>
  <c r="C1194" i="20" s="1"/>
  <c r="C1195" i="20"/>
  <c r="C1196" i="20" s="1"/>
  <c r="C1197" i="20" s="1"/>
  <c r="C1198" i="20" s="1"/>
  <c r="C1199" i="20" s="1"/>
  <c r="C1200" i="20" s="1"/>
  <c r="C1201" i="20" s="1"/>
  <c r="C1202" i="20" s="1"/>
  <c r="C1203" i="20" s="1"/>
  <c r="C1204" i="20" s="1"/>
  <c r="C1205" i="20" s="1"/>
  <c r="C1206" i="20" s="1"/>
  <c r="C1207" i="20" s="1"/>
  <c r="K1166" i="20"/>
  <c r="I1165" i="20"/>
  <c r="O1152" i="20"/>
  <c r="N1152" i="20"/>
  <c r="D1082" i="20"/>
  <c r="C1082" i="20"/>
  <c r="C1083" i="20"/>
  <c r="C1084" i="20"/>
  <c r="C1085" i="20" s="1"/>
  <c r="C1086" i="20" s="1"/>
  <c r="C1087" i="20"/>
  <c r="C1088" i="20"/>
  <c r="C1089" i="20" s="1"/>
  <c r="C1090" i="20" s="1"/>
  <c r="C1091" i="20" s="1"/>
  <c r="C1092" i="20" s="1"/>
  <c r="C1093" i="20" s="1"/>
  <c r="C1094" i="20" s="1"/>
  <c r="C1095" i="20"/>
  <c r="C1096" i="20" s="1"/>
  <c r="C1097" i="20" s="1"/>
  <c r="C1098" i="20" s="1"/>
  <c r="C1099" i="20" s="1"/>
  <c r="C1100" i="20" s="1"/>
  <c r="C1101" i="20" s="1"/>
  <c r="C1102" i="20" s="1"/>
  <c r="C1103" i="20" s="1"/>
  <c r="C1104" i="20" s="1"/>
  <c r="C1105" i="20" s="1"/>
  <c r="C1106" i="20" s="1"/>
  <c r="C1107" i="20" s="1"/>
  <c r="C1108" i="20" s="1"/>
  <c r="C1109" i="20" s="1"/>
  <c r="C1110" i="20" s="1"/>
  <c r="C1111" i="20"/>
  <c r="C1112" i="20" s="1"/>
  <c r="C1113" i="20" s="1"/>
  <c r="C1114" i="20" s="1"/>
  <c r="C1115" i="20" s="1"/>
  <c r="C1116" i="20" s="1"/>
  <c r="K1077" i="20"/>
  <c r="I1076" i="20"/>
  <c r="O1063" i="20"/>
  <c r="N1063" i="20"/>
  <c r="D993" i="20"/>
  <c r="C993" i="20"/>
  <c r="C994" i="20" s="1"/>
  <c r="C995" i="20"/>
  <c r="C996" i="20"/>
  <c r="C997" i="20" s="1"/>
  <c r="C998" i="20" s="1"/>
  <c r="C999" i="20" s="1"/>
  <c r="C1000" i="20" s="1"/>
  <c r="C1001" i="20" s="1"/>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K988" i="20"/>
  <c r="I987" i="20"/>
  <c r="O974" i="20"/>
  <c r="N974" i="20"/>
  <c r="D904" i="20"/>
  <c r="C904" i="20"/>
  <c r="C905" i="20" s="1"/>
  <c r="C906" i="20" s="1"/>
  <c r="C907" i="20"/>
  <c r="C908" i="20"/>
  <c r="C909" i="20" s="1"/>
  <c r="C910" i="20" s="1"/>
  <c r="C911" i="20"/>
  <c r="C912" i="20" s="1"/>
  <c r="C913" i="20" s="1"/>
  <c r="C914" i="20" s="1"/>
  <c r="C915" i="20" s="1"/>
  <c r="C916" i="20"/>
  <c r="C917" i="20" s="1"/>
  <c r="C918" i="20" s="1"/>
  <c r="C919" i="20" s="1"/>
  <c r="C920" i="20" s="1"/>
  <c r="C921" i="20" s="1"/>
  <c r="C922" i="20" s="1"/>
  <c r="C923" i="20" s="1"/>
  <c r="C924" i="20" s="1"/>
  <c r="C925" i="20" s="1"/>
  <c r="C926" i="20" s="1"/>
  <c r="C927" i="20" s="1"/>
  <c r="C928" i="20" s="1"/>
  <c r="C929" i="20" s="1"/>
  <c r="C930" i="20" s="1"/>
  <c r="C931" i="20" s="1"/>
  <c r="C932" i="20"/>
  <c r="C933" i="20" s="1"/>
  <c r="K899" i="20"/>
  <c r="I898" i="20"/>
  <c r="O885" i="20"/>
  <c r="N885" i="20"/>
  <c r="D815" i="20"/>
  <c r="C815" i="20"/>
  <c r="C816" i="20"/>
  <c r="C817" i="20" s="1"/>
  <c r="C818" i="20" s="1"/>
  <c r="C819" i="20"/>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K810" i="20"/>
  <c r="I809" i="20"/>
  <c r="O796" i="20"/>
  <c r="N796" i="20"/>
  <c r="C737" i="20"/>
  <c r="C738" i="20" s="1"/>
  <c r="C739" i="20" s="1"/>
  <c r="C740" i="20" s="1"/>
  <c r="C741" i="20" s="1"/>
  <c r="C742" i="20" s="1"/>
  <c r="C743" i="20" s="1"/>
  <c r="C744" i="20" s="1"/>
  <c r="C745" i="20" s="1"/>
  <c r="C746" i="20" s="1"/>
  <c r="C747" i="20" s="1"/>
  <c r="C748" i="20" s="1"/>
  <c r="C749" i="20" s="1"/>
  <c r="C750" i="20" s="1"/>
  <c r="C751" i="20" s="1"/>
  <c r="C752" i="20" s="1"/>
  <c r="C753" i="20"/>
  <c r="C754" i="20" s="1"/>
  <c r="C755" i="20" s="1"/>
  <c r="C756" i="20" s="1"/>
  <c r="C757" i="20" s="1"/>
  <c r="C758" i="20" s="1"/>
  <c r="C759" i="20" s="1"/>
  <c r="D726" i="20"/>
  <c r="C726" i="20"/>
  <c r="C727" i="20" s="1"/>
  <c r="C728" i="20" s="1"/>
  <c r="C729" i="20" s="1"/>
  <c r="C730" i="20" s="1"/>
  <c r="C731" i="20" s="1"/>
  <c r="C732" i="20" s="1"/>
  <c r="C733" i="20" s="1"/>
  <c r="C734" i="20" s="1"/>
  <c r="C735" i="20" s="1"/>
  <c r="C736" i="20" s="1"/>
  <c r="K721" i="20"/>
  <c r="I720" i="20"/>
  <c r="O707" i="20"/>
  <c r="N707" i="20"/>
  <c r="C662" i="20"/>
  <c r="C663" i="20" s="1"/>
  <c r="C664" i="20" s="1"/>
  <c r="C665" i="20" s="1"/>
  <c r="C666" i="20" s="1"/>
  <c r="C667" i="20" s="1"/>
  <c r="C668" i="20" s="1"/>
  <c r="D637" i="20"/>
  <c r="C637" i="20"/>
  <c r="C638" i="20"/>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K632" i="20"/>
  <c r="I631" i="20"/>
  <c r="O618" i="20"/>
  <c r="N618" i="20"/>
  <c r="C566" i="20"/>
  <c r="C567" i="20" s="1"/>
  <c r="C568" i="20" s="1"/>
  <c r="C569" i="20" s="1"/>
  <c r="C570" i="20" s="1"/>
  <c r="C571" i="20" s="1"/>
  <c r="C572" i="20" s="1"/>
  <c r="C573" i="20" s="1"/>
  <c r="C574" i="20" s="1"/>
  <c r="C575" i="20" s="1"/>
  <c r="C576" i="20" s="1"/>
  <c r="C577" i="20" s="1"/>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K543" i="20"/>
  <c r="I542" i="20"/>
  <c r="O529" i="20"/>
  <c r="N529" i="20"/>
  <c r="C461" i="20"/>
  <c r="C462" i="20"/>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D459" i="20"/>
  <c r="C459" i="20"/>
  <c r="C460" i="20" s="1"/>
  <c r="K454" i="20"/>
  <c r="I453" i="20"/>
  <c r="O440" i="20"/>
  <c r="N440" i="20"/>
  <c r="D370" i="20"/>
  <c r="C370" i="20"/>
  <c r="C371" i="20"/>
  <c r="C372" i="20" s="1"/>
  <c r="C373" i="20" s="1"/>
  <c r="C374" i="20" s="1"/>
  <c r="C375" i="20" s="1"/>
  <c r="C376" i="20"/>
  <c r="C377" i="20" s="1"/>
  <c r="C378" i="20" s="1"/>
  <c r="C379" i="20"/>
  <c r="C380" i="20" s="1"/>
  <c r="C381" i="20" s="1"/>
  <c r="C382" i="20" s="1"/>
  <c r="C383" i="20" s="1"/>
  <c r="C384" i="20" s="1"/>
  <c r="C385" i="20" s="1"/>
  <c r="C386" i="20" s="1"/>
  <c r="C387" i="20" s="1"/>
  <c r="C388" i="20" s="1"/>
  <c r="C389" i="20" s="1"/>
  <c r="C390" i="20" s="1"/>
  <c r="C391" i="20" s="1"/>
  <c r="C392" i="20" s="1"/>
  <c r="C393" i="20" s="1"/>
  <c r="C394" i="20" s="1"/>
  <c r="C395" i="20"/>
  <c r="C396" i="20" s="1"/>
  <c r="C397" i="20" s="1"/>
  <c r="C398" i="20" s="1"/>
  <c r="C399" i="20" s="1"/>
  <c r="C400" i="20" s="1"/>
  <c r="C401" i="20" s="1"/>
  <c r="C402" i="20" s="1"/>
  <c r="C403" i="20" s="1"/>
  <c r="C404" i="20" s="1"/>
  <c r="C405" i="20" s="1"/>
  <c r="C406" i="20" s="1"/>
  <c r="K365" i="20"/>
  <c r="I364" i="20"/>
  <c r="O351" i="20"/>
  <c r="N351" i="20"/>
  <c r="D281" i="20"/>
  <c r="C281" i="20"/>
  <c r="C282" i="20"/>
  <c r="C283" i="20"/>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K276" i="20"/>
  <c r="I275" i="20"/>
  <c r="O262" i="20"/>
  <c r="N262" i="20"/>
  <c r="D192" i="20"/>
  <c r="C192" i="20"/>
  <c r="C193" i="20" s="1"/>
  <c r="C194" i="20" s="1"/>
  <c r="C195" i="20"/>
  <c r="C196" i="20"/>
  <c r="C197" i="20" s="1"/>
  <c r="C198" i="20" s="1"/>
  <c r="C199" i="20"/>
  <c r="C200" i="20" s="1"/>
  <c r="C201" i="20" s="1"/>
  <c r="C202" i="20" s="1"/>
  <c r="C203" i="20" s="1"/>
  <c r="C204" i="20" s="1"/>
  <c r="C205" i="20" s="1"/>
  <c r="C206" i="20" s="1"/>
  <c r="C207" i="20" s="1"/>
  <c r="C208" i="20" s="1"/>
  <c r="C209" i="20" s="1"/>
  <c r="C210" i="20" s="1"/>
  <c r="C211" i="20" s="1"/>
  <c r="C212" i="20" s="1"/>
  <c r="C213" i="20" s="1"/>
  <c r="C214" i="20" s="1"/>
  <c r="C215" i="20"/>
  <c r="C216" i="20" s="1"/>
  <c r="C217" i="20" s="1"/>
  <c r="C218" i="20" s="1"/>
  <c r="C219" i="20" s="1"/>
  <c r="C220" i="20" s="1"/>
  <c r="C221" i="20" s="1"/>
  <c r="K187" i="20"/>
  <c r="I186" i="20"/>
  <c r="O173" i="20"/>
  <c r="N173" i="20"/>
  <c r="D102" i="20"/>
  <c r="C102" i="20"/>
  <c r="C103" i="20"/>
  <c r="C104" i="20" s="1"/>
  <c r="C105" i="20" s="1"/>
  <c r="C106" i="20"/>
  <c r="C107" i="20" s="1"/>
  <c r="C108" i="20" s="1"/>
  <c r="C109" i="20" s="1"/>
  <c r="C110" i="20" s="1"/>
  <c r="C111" i="20" s="1"/>
  <c r="C112" i="20" s="1"/>
  <c r="C113" i="20" s="1"/>
  <c r="C114" i="20" s="1"/>
  <c r="C115" i="20"/>
  <c r="C116" i="20" s="1"/>
  <c r="C117" i="20" s="1"/>
  <c r="C118" i="20" s="1"/>
  <c r="C119" i="20" s="1"/>
  <c r="C120" i="20" s="1"/>
  <c r="C121" i="20" s="1"/>
  <c r="C122" i="20" s="1"/>
  <c r="C123" i="20" s="1"/>
  <c r="C124" i="20" s="1"/>
  <c r="C125" i="20" s="1"/>
  <c r="C126" i="20" s="1"/>
  <c r="C127" i="20" s="1"/>
  <c r="C128" i="20" s="1"/>
  <c r="C129" i="20" s="1"/>
  <c r="C130" i="20" s="1"/>
  <c r="C131" i="20" s="1"/>
  <c r="C132" i="20" s="1"/>
  <c r="K97" i="20"/>
  <c r="I96" i="20"/>
  <c r="O83" i="20"/>
  <c r="N83" i="20"/>
  <c r="G22" i="49"/>
  <c r="G23" i="49"/>
  <c r="G24" i="49"/>
  <c r="G25" i="49" s="1"/>
  <c r="G26" i="49" s="1"/>
  <c r="G27" i="49" s="1"/>
  <c r="G28" i="49" s="1"/>
  <c r="G29" i="49" s="1"/>
  <c r="G30" i="49" s="1"/>
  <c r="G31" i="49" s="1"/>
  <c r="G32" i="49" s="1"/>
  <c r="F21" i="49"/>
  <c r="H10" i="49"/>
  <c r="F10" i="49"/>
  <c r="B10" i="49"/>
  <c r="G22" i="47"/>
  <c r="G23" i="47"/>
  <c r="G24" i="47" s="1"/>
  <c r="G25" i="47" s="1"/>
  <c r="G26" i="47" s="1"/>
  <c r="G27" i="47" s="1"/>
  <c r="G28" i="47" s="1"/>
  <c r="G29" i="47" s="1"/>
  <c r="G30" i="47" s="1"/>
  <c r="G31" i="47" s="1"/>
  <c r="G32" i="47" s="1"/>
  <c r="F21" i="47"/>
  <c r="H21" i="47" s="1"/>
  <c r="K21" i="47" s="1"/>
  <c r="H10" i="47"/>
  <c r="F10" i="47"/>
  <c r="B10" i="47"/>
  <c r="B40" i="32"/>
  <c r="B41" i="32"/>
  <c r="B42" i="32" s="1"/>
  <c r="B43" i="32" s="1"/>
  <c r="B44" i="32" s="1"/>
  <c r="B45" i="32" s="1"/>
  <c r="B46" i="32" s="1"/>
  <c r="B47" i="32" s="1"/>
  <c r="B48" i="32" s="1"/>
  <c r="B49" i="32" s="1"/>
  <c r="B50" i="32" s="1"/>
  <c r="G22" i="32"/>
  <c r="G23" i="32"/>
  <c r="G24" i="32"/>
  <c r="G25" i="32" s="1"/>
  <c r="G26" i="32" s="1"/>
  <c r="G27" i="32" s="1"/>
  <c r="G28" i="32" s="1"/>
  <c r="G29" i="32" s="1"/>
  <c r="G30" i="32" s="1"/>
  <c r="G31" i="32" s="1"/>
  <c r="G32" i="32" s="1"/>
  <c r="F21" i="32"/>
  <c r="F22" i="32" s="1"/>
  <c r="B22" i="32"/>
  <c r="B23" i="32" s="1"/>
  <c r="B24" i="32" s="1"/>
  <c r="B25" i="32" s="1"/>
  <c r="B26" i="32" s="1"/>
  <c r="B27" i="32" s="1"/>
  <c r="B28" i="32" s="1"/>
  <c r="B29" i="32" s="1"/>
  <c r="B30" i="32" s="1"/>
  <c r="B31" i="32" s="1"/>
  <c r="B32" i="32" s="1"/>
  <c r="H10" i="32"/>
  <c r="D21" i="32" s="1"/>
  <c r="F10" i="32"/>
  <c r="B10" i="32"/>
  <c r="M65" i="11"/>
  <c r="C61" i="11"/>
  <c r="M54" i="11"/>
  <c r="C50" i="11"/>
  <c r="F32" i="10"/>
  <c r="F28" i="10"/>
  <c r="F24" i="10"/>
  <c r="F19" i="10"/>
  <c r="F15" i="10"/>
  <c r="F11" i="10"/>
  <c r="D61" i="6"/>
  <c r="D29" i="6" s="1"/>
  <c r="D23" i="35"/>
  <c r="G67" i="2" s="1"/>
  <c r="L67" i="2" s="1"/>
  <c r="G42" i="41"/>
  <c r="F42" i="41"/>
  <c r="E42" i="41"/>
  <c r="D42" i="41"/>
  <c r="C42" i="41"/>
  <c r="F23" i="41"/>
  <c r="L251" i="2" s="1"/>
  <c r="E23" i="41"/>
  <c r="L250" i="2" s="1"/>
  <c r="D23" i="41"/>
  <c r="L249" i="2" s="1"/>
  <c r="G256" i="2" s="1"/>
  <c r="J256" i="2" s="1"/>
  <c r="E22" i="13" s="1"/>
  <c r="C23" i="41"/>
  <c r="L248" i="2" s="1"/>
  <c r="F62" i="35"/>
  <c r="E62" i="35"/>
  <c r="D62" i="35"/>
  <c r="C62" i="35"/>
  <c r="L228" i="2" s="1"/>
  <c r="K42" i="35"/>
  <c r="J42" i="35"/>
  <c r="G85" i="2" s="1"/>
  <c r="I42" i="35"/>
  <c r="G84" i="2" s="1"/>
  <c r="H42" i="35"/>
  <c r="G83" i="2" s="1"/>
  <c r="L83" i="2" s="1"/>
  <c r="G42" i="35"/>
  <c r="G82" i="2" s="1"/>
  <c r="F42" i="35"/>
  <c r="G81" i="2" s="1"/>
  <c r="E42" i="35"/>
  <c r="D64" i="35" s="1"/>
  <c r="L80" i="2" s="1"/>
  <c r="G80" i="2"/>
  <c r="D42" i="35"/>
  <c r="G79" i="2"/>
  <c r="L79" i="2" s="1"/>
  <c r="C42" i="35"/>
  <c r="G78" i="2" s="1"/>
  <c r="L78" i="2" s="1"/>
  <c r="K23" i="35"/>
  <c r="G74" i="2" s="1"/>
  <c r="J23" i="35"/>
  <c r="G73" i="2" s="1"/>
  <c r="I23" i="35"/>
  <c r="G72" i="2" s="1"/>
  <c r="H23" i="35"/>
  <c r="G23" i="35"/>
  <c r="G70" i="2"/>
  <c r="L70" i="2" s="1"/>
  <c r="F23" i="35"/>
  <c r="G69" i="2" s="1"/>
  <c r="E23" i="35"/>
  <c r="G68" i="2" s="1"/>
  <c r="C23" i="35"/>
  <c r="G66" i="2"/>
  <c r="L66" i="2" s="1"/>
  <c r="G155" i="2"/>
  <c r="G154" i="2"/>
  <c r="G153" i="2"/>
  <c r="F17" i="48"/>
  <c r="B14" i="48"/>
  <c r="A6" i="48"/>
  <c r="I47" i="48"/>
  <c r="C26" i="48" s="1"/>
  <c r="H47" i="48"/>
  <c r="C25" i="48" s="1"/>
  <c r="D47" i="48"/>
  <c r="C22" i="48" s="1"/>
  <c r="K45" i="48"/>
  <c r="K41" i="48"/>
  <c r="J47" i="48"/>
  <c r="C27" i="48" s="1"/>
  <c r="G47" i="48"/>
  <c r="C24" i="48" s="1"/>
  <c r="F47" i="48"/>
  <c r="C23" i="48" s="1"/>
  <c r="K37" i="48"/>
  <c r="E28" i="48"/>
  <c r="A23" i="48"/>
  <c r="A24" i="48" s="1"/>
  <c r="A25" i="48" s="1"/>
  <c r="A26" i="48" s="1"/>
  <c r="A27" i="48" s="1"/>
  <c r="B28" i="48" s="1"/>
  <c r="E20" i="48"/>
  <c r="A4" i="48"/>
  <c r="G71" i="2"/>
  <c r="L71" i="2" s="1"/>
  <c r="C63" i="41"/>
  <c r="B48" i="41"/>
  <c r="I27" i="42"/>
  <c r="E27" i="42"/>
  <c r="K27" i="42" s="1"/>
  <c r="I26" i="42"/>
  <c r="E26" i="42"/>
  <c r="K26" i="42" s="1"/>
  <c r="I25" i="42"/>
  <c r="E25" i="42"/>
  <c r="K25" i="42" s="1"/>
  <c r="I24" i="42"/>
  <c r="E24" i="42"/>
  <c r="K24" i="42" s="1"/>
  <c r="I23" i="42"/>
  <c r="E23" i="42"/>
  <c r="K23" i="42" s="1"/>
  <c r="I22" i="42"/>
  <c r="E22" i="42"/>
  <c r="K22" i="42" s="1"/>
  <c r="I21" i="42"/>
  <c r="E21" i="42"/>
  <c r="K21" i="42" s="1"/>
  <c r="I20" i="42"/>
  <c r="E20" i="42"/>
  <c r="K20" i="42" s="1"/>
  <c r="I19" i="42"/>
  <c r="E19" i="42"/>
  <c r="K19" i="42" s="1"/>
  <c r="I29" i="30"/>
  <c r="I34" i="30"/>
  <c r="A6" i="11"/>
  <c r="A4" i="41"/>
  <c r="A6" i="13"/>
  <c r="A6" i="20"/>
  <c r="A6" i="10"/>
  <c r="A6" i="9"/>
  <c r="A6" i="8"/>
  <c r="B36" i="8"/>
  <c r="A6" i="7"/>
  <c r="B26" i="7"/>
  <c r="A6" i="6"/>
  <c r="B1" i="39"/>
  <c r="B1" i="38"/>
  <c r="A6" i="5"/>
  <c r="A4" i="35"/>
  <c r="B3" i="39"/>
  <c r="Q10" i="39"/>
  <c r="Q10" i="38"/>
  <c r="M10" i="39"/>
  <c r="M10" i="38"/>
  <c r="F13" i="39"/>
  <c r="E13" i="39"/>
  <c r="E13" i="38"/>
  <c r="D13" i="39"/>
  <c r="D13" i="38"/>
  <c r="C13" i="39"/>
  <c r="C13" i="38"/>
  <c r="M118" i="39"/>
  <c r="D43" i="5"/>
  <c r="D42" i="5"/>
  <c r="D27" i="5"/>
  <c r="D19" i="5"/>
  <c r="F85" i="35"/>
  <c r="S199" i="38"/>
  <c r="S205" i="38" s="1"/>
  <c r="R199" i="38"/>
  <c r="R205" i="38" s="1"/>
  <c r="Q199" i="38"/>
  <c r="Q205" i="38" s="1"/>
  <c r="O199" i="38"/>
  <c r="O205" i="38" s="1"/>
  <c r="N199" i="38"/>
  <c r="N205" i="38" s="1"/>
  <c r="M199" i="38"/>
  <c r="M205" i="38" s="1"/>
  <c r="S81" i="38"/>
  <c r="R81" i="38"/>
  <c r="Q81" i="38"/>
  <c r="O81" i="38"/>
  <c r="N81" i="38"/>
  <c r="M81" i="38"/>
  <c r="F13" i="38"/>
  <c r="B3" i="38"/>
  <c r="A82" i="38"/>
  <c r="D26" i="5"/>
  <c r="E82" i="38"/>
  <c r="F82" i="38"/>
  <c r="A202" i="38"/>
  <c r="A205" i="38"/>
  <c r="A18" i="39"/>
  <c r="A19" i="39"/>
  <c r="A20" i="39" s="1"/>
  <c r="A21" i="39" s="1"/>
  <c r="A22" i="39" s="1"/>
  <c r="A23" i="39" s="1"/>
  <c r="A24" i="39" s="1"/>
  <c r="A25" i="39" s="1"/>
  <c r="A26" i="39" s="1"/>
  <c r="A27" i="39" s="1"/>
  <c r="A28" i="39" s="1"/>
  <c r="A29" i="39" s="1"/>
  <c r="A30" i="39" s="1"/>
  <c r="A31" i="39" s="1"/>
  <c r="A32" i="39" s="1"/>
  <c r="A33" i="39" s="1"/>
  <c r="A34" i="39" s="1"/>
  <c r="A35" i="39" s="1"/>
  <c r="A36" i="39" s="1"/>
  <c r="A37" i="39" s="1"/>
  <c r="A38" i="39" s="1"/>
  <c r="A87" i="38"/>
  <c r="A88" i="38"/>
  <c r="A89" i="38" s="1"/>
  <c r="A90" i="38" s="1"/>
  <c r="A91" i="38" s="1"/>
  <c r="A92" i="38" s="1"/>
  <c r="A93" i="38" s="1"/>
  <c r="A94" i="38" s="1"/>
  <c r="A95" i="38" s="1"/>
  <c r="A96" i="38" s="1"/>
  <c r="A97" i="38" s="1"/>
  <c r="A98" i="38" s="1"/>
  <c r="A99" i="38" s="1"/>
  <c r="A100" i="38" s="1"/>
  <c r="A101" i="38" s="1"/>
  <c r="A102" i="38" s="1"/>
  <c r="A103" i="38" s="1"/>
  <c r="A104" i="38" s="1"/>
  <c r="A105"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G115" i="39"/>
  <c r="G113" i="39"/>
  <c r="G111" i="39"/>
  <c r="D97" i="39"/>
  <c r="J97" i="39"/>
  <c r="I97" i="39"/>
  <c r="C97" i="39"/>
  <c r="C96" i="39"/>
  <c r="K96" i="39"/>
  <c r="J96" i="39"/>
  <c r="D95" i="39"/>
  <c r="K95" i="39"/>
  <c r="J94" i="39"/>
  <c r="I94" i="39"/>
  <c r="D93" i="39"/>
  <c r="J93" i="39"/>
  <c r="I93" i="39"/>
  <c r="I92" i="39"/>
  <c r="K92" i="39"/>
  <c r="J92" i="39"/>
  <c r="D92" i="39"/>
  <c r="C92" i="39"/>
  <c r="J91" i="39"/>
  <c r="D91" i="39"/>
  <c r="K91" i="39"/>
  <c r="K90" i="39"/>
  <c r="D90" i="39"/>
  <c r="C90" i="39"/>
  <c r="G90" i="39" s="1"/>
  <c r="I90" i="39"/>
  <c r="D89" i="39"/>
  <c r="J89" i="39"/>
  <c r="I89" i="39"/>
  <c r="C88" i="39"/>
  <c r="J88" i="39"/>
  <c r="J87" i="39"/>
  <c r="K87" i="39"/>
  <c r="D87" i="39"/>
  <c r="K86" i="39"/>
  <c r="J86" i="39"/>
  <c r="I86" i="39"/>
  <c r="D85" i="39"/>
  <c r="J85" i="39"/>
  <c r="I85" i="39"/>
  <c r="I83" i="39"/>
  <c r="K83" i="39"/>
  <c r="J83" i="39"/>
  <c r="D83" i="39"/>
  <c r="C83" i="39"/>
  <c r="J82" i="39"/>
  <c r="D82" i="39"/>
  <c r="K82" i="39"/>
  <c r="K81" i="39"/>
  <c r="D81" i="39"/>
  <c r="C81" i="39"/>
  <c r="I81" i="39"/>
  <c r="D80" i="39"/>
  <c r="J80" i="39"/>
  <c r="I80" i="39"/>
  <c r="C80" i="39"/>
  <c r="C79" i="39"/>
  <c r="K79" i="39"/>
  <c r="J79" i="39"/>
  <c r="J78" i="39"/>
  <c r="K78" i="39"/>
  <c r="K77" i="39"/>
  <c r="J77" i="39"/>
  <c r="I77" i="39"/>
  <c r="D76" i="39"/>
  <c r="J76" i="39"/>
  <c r="I76" i="39"/>
  <c r="I75" i="39"/>
  <c r="K75" i="39"/>
  <c r="J75" i="39"/>
  <c r="D75" i="39"/>
  <c r="C75" i="39"/>
  <c r="J74" i="39"/>
  <c r="D74" i="39"/>
  <c r="K74" i="39"/>
  <c r="K73" i="39"/>
  <c r="D73" i="39"/>
  <c r="C73" i="39"/>
  <c r="I73" i="39"/>
  <c r="D72" i="39"/>
  <c r="J72" i="39"/>
  <c r="I72" i="39"/>
  <c r="D71" i="39"/>
  <c r="C71" i="39"/>
  <c r="J71" i="39"/>
  <c r="J70" i="39"/>
  <c r="K70" i="39"/>
  <c r="D70" i="39"/>
  <c r="J69" i="39"/>
  <c r="I69" i="39"/>
  <c r="D68" i="39"/>
  <c r="J68" i="39"/>
  <c r="I68" i="39"/>
  <c r="I67" i="39"/>
  <c r="K67" i="39"/>
  <c r="J67" i="39"/>
  <c r="D67" i="39"/>
  <c r="C67" i="39"/>
  <c r="D66" i="39"/>
  <c r="J66" i="39"/>
  <c r="K66" i="39"/>
  <c r="D65" i="39"/>
  <c r="K65" i="39"/>
  <c r="C65" i="39"/>
  <c r="I65" i="39"/>
  <c r="D64" i="39"/>
  <c r="J64" i="39"/>
  <c r="I64" i="39"/>
  <c r="C64" i="39"/>
  <c r="D63" i="39"/>
  <c r="C63" i="39"/>
  <c r="K63" i="39"/>
  <c r="J63" i="39"/>
  <c r="D62" i="39"/>
  <c r="K62" i="39"/>
  <c r="J61" i="39"/>
  <c r="I61" i="39"/>
  <c r="D60" i="39"/>
  <c r="J60" i="39"/>
  <c r="I60" i="39"/>
  <c r="I59" i="39"/>
  <c r="K59" i="39"/>
  <c r="J59" i="39"/>
  <c r="D59" i="39"/>
  <c r="C59" i="39"/>
  <c r="D58" i="39"/>
  <c r="J58" i="39"/>
  <c r="K58" i="39"/>
  <c r="D57" i="39"/>
  <c r="K57" i="39"/>
  <c r="C57" i="39"/>
  <c r="G57" i="39" s="1"/>
  <c r="I57" i="39"/>
  <c r="D56" i="39"/>
  <c r="C56" i="39"/>
  <c r="I56" i="39"/>
  <c r="K55" i="39"/>
  <c r="I55" i="39"/>
  <c r="J55" i="39"/>
  <c r="D55" i="39"/>
  <c r="K54" i="39"/>
  <c r="D54" i="39"/>
  <c r="C54" i="39"/>
  <c r="I54" i="39"/>
  <c r="D53" i="39"/>
  <c r="J53" i="39"/>
  <c r="I53" i="39"/>
  <c r="C53" i="39"/>
  <c r="I52" i="39"/>
  <c r="C52" i="39"/>
  <c r="J52" i="39"/>
  <c r="J51" i="39"/>
  <c r="K51" i="39"/>
  <c r="K50" i="39"/>
  <c r="J50" i="39"/>
  <c r="I50" i="39"/>
  <c r="D48" i="39"/>
  <c r="K48" i="39"/>
  <c r="J48" i="39"/>
  <c r="I48" i="39"/>
  <c r="I46" i="39"/>
  <c r="K46" i="39"/>
  <c r="J46" i="39"/>
  <c r="D46" i="39"/>
  <c r="C46" i="39"/>
  <c r="J45" i="39"/>
  <c r="D45" i="39"/>
  <c r="K45" i="39"/>
  <c r="K44" i="39"/>
  <c r="D44" i="39"/>
  <c r="C44" i="39"/>
  <c r="I44" i="39"/>
  <c r="D43" i="39"/>
  <c r="J43" i="39"/>
  <c r="I43" i="39"/>
  <c r="C43" i="39"/>
  <c r="I42" i="39"/>
  <c r="C42" i="39"/>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219" i="38"/>
  <c r="R219" i="38"/>
  <c r="E52" i="5" s="1"/>
  <c r="Q219" i="38"/>
  <c r="E49" i="5" s="1"/>
  <c r="O219" i="38"/>
  <c r="N219" i="38"/>
  <c r="G52" i="5" s="1"/>
  <c r="M219" i="38"/>
  <c r="F219" i="38"/>
  <c r="E219" i="38"/>
  <c r="K217" i="38"/>
  <c r="J217" i="38"/>
  <c r="I217" i="38"/>
  <c r="D217" i="38"/>
  <c r="C217" i="38"/>
  <c r="K216" i="38"/>
  <c r="J216" i="38"/>
  <c r="I216" i="38"/>
  <c r="D216" i="38"/>
  <c r="C216" i="38"/>
  <c r="K202" i="38"/>
  <c r="J202" i="38"/>
  <c r="I202" i="38"/>
  <c r="D202" i="38"/>
  <c r="C202" i="38"/>
  <c r="D183" i="38"/>
  <c r="J183" i="38"/>
  <c r="I183" i="38"/>
  <c r="J182" i="38"/>
  <c r="K182" i="38"/>
  <c r="D181" i="38"/>
  <c r="K181" i="38"/>
  <c r="J181" i="38"/>
  <c r="K180" i="38"/>
  <c r="D180" i="38"/>
  <c r="I179" i="38"/>
  <c r="J179" i="38"/>
  <c r="C179" i="38"/>
  <c r="K178" i="38"/>
  <c r="J178" i="38"/>
  <c r="C178" i="38"/>
  <c r="D177" i="38"/>
  <c r="K177" i="38"/>
  <c r="J177" i="38"/>
  <c r="K176" i="38"/>
  <c r="J176" i="38"/>
  <c r="I176" i="38"/>
  <c r="D175" i="38"/>
  <c r="K175" i="38"/>
  <c r="I174" i="38"/>
  <c r="J174" i="38"/>
  <c r="J173" i="38"/>
  <c r="K173" i="38"/>
  <c r="D173" i="38"/>
  <c r="G173" i="38" s="1"/>
  <c r="C173" i="38"/>
  <c r="D172" i="38"/>
  <c r="K172" i="38"/>
  <c r="I171" i="38"/>
  <c r="D170" i="38"/>
  <c r="I170" i="38"/>
  <c r="K169" i="38"/>
  <c r="J169" i="38"/>
  <c r="D169" i="38"/>
  <c r="K168" i="38"/>
  <c r="K167" i="38"/>
  <c r="I167" i="38"/>
  <c r="C166" i="38"/>
  <c r="J166" i="38"/>
  <c r="D165" i="38"/>
  <c r="C165" i="38"/>
  <c r="J165" i="38"/>
  <c r="K164" i="38"/>
  <c r="J164" i="38"/>
  <c r="I164" i="38"/>
  <c r="D164" i="38"/>
  <c r="G164" i="38" s="1"/>
  <c r="J163" i="38"/>
  <c r="I163" i="38"/>
  <c r="C163" i="38"/>
  <c r="C162" i="38"/>
  <c r="J162" i="38"/>
  <c r="C161" i="38"/>
  <c r="J161" i="38"/>
  <c r="D161" i="38"/>
  <c r="G161" i="38" s="1"/>
  <c r="K160" i="38"/>
  <c r="J160" i="38"/>
  <c r="J159" i="38"/>
  <c r="I159" i="38"/>
  <c r="J158" i="38"/>
  <c r="K158" i="38"/>
  <c r="C158" i="38"/>
  <c r="J157" i="38"/>
  <c r="I157" i="38"/>
  <c r="K157" i="38"/>
  <c r="D157" i="38"/>
  <c r="C157" i="38"/>
  <c r="G157" i="38" s="1"/>
  <c r="D151" i="38"/>
  <c r="C151" i="38"/>
  <c r="K151" i="38"/>
  <c r="I150" i="38"/>
  <c r="K149" i="38"/>
  <c r="J149" i="38"/>
  <c r="I149" i="38"/>
  <c r="D149" i="38"/>
  <c r="J148" i="38"/>
  <c r="K148" i="38"/>
  <c r="D148" i="38"/>
  <c r="D147" i="38"/>
  <c r="J147" i="38"/>
  <c r="K147" i="38"/>
  <c r="D146" i="38"/>
  <c r="K146" i="38"/>
  <c r="K145" i="38"/>
  <c r="I145" i="38"/>
  <c r="D144" i="38"/>
  <c r="J144" i="38"/>
  <c r="K143" i="38"/>
  <c r="D143" i="38"/>
  <c r="C143" i="38"/>
  <c r="I143" i="38"/>
  <c r="J142" i="38"/>
  <c r="I142" i="38"/>
  <c r="C142" i="38"/>
  <c r="K141" i="38"/>
  <c r="I141" i="38"/>
  <c r="J140" i="38"/>
  <c r="I140" i="38"/>
  <c r="K140" i="38"/>
  <c r="C140" i="38"/>
  <c r="C139" i="38"/>
  <c r="K139" i="38"/>
  <c r="I139" i="38"/>
  <c r="D139" i="38"/>
  <c r="C138" i="38"/>
  <c r="J138" i="38"/>
  <c r="I138" i="38"/>
  <c r="K137" i="38"/>
  <c r="I137" i="38"/>
  <c r="K136" i="38"/>
  <c r="I136" i="38"/>
  <c r="D136" i="38"/>
  <c r="J135" i="38"/>
  <c r="K135" i="38"/>
  <c r="D134" i="38"/>
  <c r="K134" i="38"/>
  <c r="D133" i="38"/>
  <c r="J133" i="38"/>
  <c r="I133" i="38"/>
  <c r="C132" i="38"/>
  <c r="I132" i="38"/>
  <c r="D131" i="38"/>
  <c r="J131" i="38"/>
  <c r="K130" i="38"/>
  <c r="J130" i="38"/>
  <c r="D130" i="38"/>
  <c r="D129" i="38"/>
  <c r="I129" i="38"/>
  <c r="J129" i="38"/>
  <c r="C129" i="38"/>
  <c r="C128" i="38"/>
  <c r="K128" i="38"/>
  <c r="J128" i="38"/>
  <c r="D127" i="38"/>
  <c r="K127" i="38"/>
  <c r="J127" i="38"/>
  <c r="C127" i="38"/>
  <c r="K126" i="38"/>
  <c r="D126" i="38"/>
  <c r="J126" i="38"/>
  <c r="I126" i="38"/>
  <c r="J125" i="38"/>
  <c r="I125" i="38"/>
  <c r="C125" i="38"/>
  <c r="I124" i="38"/>
  <c r="J124" i="38"/>
  <c r="K124" i="38"/>
  <c r="D124" i="38"/>
  <c r="C124" i="38"/>
  <c r="J123" i="38"/>
  <c r="D123" i="38"/>
  <c r="C123" i="38"/>
  <c r="K123" i="38"/>
  <c r="D122" i="38"/>
  <c r="C122" i="38"/>
  <c r="K122" i="38"/>
  <c r="I121" i="38"/>
  <c r="D120" i="38"/>
  <c r="I120" i="38"/>
  <c r="J119" i="38"/>
  <c r="J206" i="38" s="1"/>
  <c r="K119" i="38"/>
  <c r="K206" i="38" s="1"/>
  <c r="D119" i="38"/>
  <c r="K118" i="38"/>
  <c r="D118" i="38"/>
  <c r="D117" i="38"/>
  <c r="J117" i="38"/>
  <c r="I117" i="38"/>
  <c r="D116" i="38"/>
  <c r="K116" i="38"/>
  <c r="J116" i="38"/>
  <c r="I116" i="38"/>
  <c r="D115" i="38"/>
  <c r="J115" i="38"/>
  <c r="K114" i="38"/>
  <c r="D114" i="38"/>
  <c r="D113" i="38"/>
  <c r="I113" i="38"/>
  <c r="K112" i="38"/>
  <c r="J112" i="38"/>
  <c r="C112" i="38"/>
  <c r="D111" i="38"/>
  <c r="C111" i="38"/>
  <c r="K111" i="38"/>
  <c r="J111" i="38"/>
  <c r="K110" i="38"/>
  <c r="J110" i="38"/>
  <c r="I110" i="38"/>
  <c r="D109" i="38"/>
  <c r="I109" i="38"/>
  <c r="I106" i="38"/>
  <c r="J106" i="38"/>
  <c r="K106" i="38"/>
  <c r="C106" i="38"/>
  <c r="J105" i="38"/>
  <c r="I105" i="38"/>
  <c r="K105" i="38"/>
  <c r="D105" i="38"/>
  <c r="C105" i="38"/>
  <c r="D104" i="38"/>
  <c r="C104" i="38"/>
  <c r="K104" i="38"/>
  <c r="I104" i="38"/>
  <c r="K103" i="38"/>
  <c r="I103" i="38"/>
  <c r="K102" i="38"/>
  <c r="I102" i="38"/>
  <c r="D102" i="38"/>
  <c r="J101" i="38"/>
  <c r="K101" i="38"/>
  <c r="D100" i="38"/>
  <c r="K100" i="38"/>
  <c r="D99" i="38"/>
  <c r="J99" i="38"/>
  <c r="I99" i="38"/>
  <c r="C98" i="38"/>
  <c r="I98" i="38"/>
  <c r="D97" i="38"/>
  <c r="J97" i="38"/>
  <c r="K96" i="38"/>
  <c r="J96" i="38"/>
  <c r="D96" i="38"/>
  <c r="D95" i="38"/>
  <c r="I95" i="38"/>
  <c r="J95" i="38"/>
  <c r="C95" i="38"/>
  <c r="C94" i="38"/>
  <c r="K94" i="38"/>
  <c r="J94" i="38"/>
  <c r="D93" i="38"/>
  <c r="K93" i="38"/>
  <c r="J93" i="38"/>
  <c r="C93" i="38"/>
  <c r="K92" i="38"/>
  <c r="D92" i="38"/>
  <c r="J92" i="38"/>
  <c r="I92" i="38"/>
  <c r="J91" i="38"/>
  <c r="I91" i="38"/>
  <c r="C91" i="38"/>
  <c r="I90" i="38"/>
  <c r="J90" i="38"/>
  <c r="K90" i="38"/>
  <c r="D90" i="38"/>
  <c r="C90" i="38"/>
  <c r="J89" i="38"/>
  <c r="D89" i="38"/>
  <c r="K89" i="38"/>
  <c r="D88" i="38"/>
  <c r="C88" i="38"/>
  <c r="K88" i="38"/>
  <c r="I87" i="38"/>
  <c r="I86" i="38"/>
  <c r="J68" i="38"/>
  <c r="K68" i="38"/>
  <c r="D68" i="38"/>
  <c r="K67" i="38"/>
  <c r="D67" i="38"/>
  <c r="D66" i="38"/>
  <c r="J66" i="38"/>
  <c r="I66" i="38"/>
  <c r="D65" i="38"/>
  <c r="K65" i="38"/>
  <c r="J65" i="38"/>
  <c r="I65" i="38"/>
  <c r="D64" i="38"/>
  <c r="J64" i="38"/>
  <c r="K63" i="38"/>
  <c r="D63" i="38"/>
  <c r="D62" i="38"/>
  <c r="I62" i="38"/>
  <c r="K61" i="38"/>
  <c r="J61" i="38"/>
  <c r="C61" i="38"/>
  <c r="G61" i="38" s="1"/>
  <c r="D59" i="38"/>
  <c r="K59" i="38"/>
  <c r="J59" i="38"/>
  <c r="C59" i="38"/>
  <c r="J58" i="38"/>
  <c r="K58" i="38"/>
  <c r="D58" i="38"/>
  <c r="K56" i="38"/>
  <c r="J56" i="38"/>
  <c r="I56" i="38"/>
  <c r="D55" i="38"/>
  <c r="K55" i="38"/>
  <c r="J55" i="38"/>
  <c r="I55" i="38"/>
  <c r="C54" i="38"/>
  <c r="I54" i="38"/>
  <c r="J54" i="38"/>
  <c r="D54" i="38"/>
  <c r="D53" i="38"/>
  <c r="K53" i="38"/>
  <c r="D52" i="38"/>
  <c r="C52" i="38"/>
  <c r="D51" i="38"/>
  <c r="C51" i="38"/>
  <c r="I51" i="38"/>
  <c r="D50" i="38"/>
  <c r="K50" i="38"/>
  <c r="J50" i="38"/>
  <c r="C50" i="38"/>
  <c r="J49" i="38"/>
  <c r="K49" i="38"/>
  <c r="D49" i="38"/>
  <c r="K48" i="38"/>
  <c r="J48" i="38"/>
  <c r="I48" i="38"/>
  <c r="D47" i="38"/>
  <c r="K47" i="38"/>
  <c r="J47" i="38"/>
  <c r="I47" i="38"/>
  <c r="C46" i="38"/>
  <c r="I46" i="38"/>
  <c r="J46" i="38"/>
  <c r="D46" i="38"/>
  <c r="D45" i="38"/>
  <c r="K45" i="38"/>
  <c r="D44" i="38"/>
  <c r="C44" i="38"/>
  <c r="D43" i="38"/>
  <c r="C43" i="38"/>
  <c r="I43" i="38"/>
  <c r="D42" i="38"/>
  <c r="K42" i="38"/>
  <c r="J42" i="38"/>
  <c r="C42" i="38"/>
  <c r="J41" i="38"/>
  <c r="K41" i="38"/>
  <c r="D41" i="38"/>
  <c r="K40" i="38"/>
  <c r="J40" i="38"/>
  <c r="I40" i="38"/>
  <c r="D39" i="38"/>
  <c r="K39" i="38"/>
  <c r="J39" i="38"/>
  <c r="I39" i="38"/>
  <c r="C38" i="38"/>
  <c r="I38" i="38"/>
  <c r="J38" i="38"/>
  <c r="D38" i="38"/>
  <c r="D37" i="38"/>
  <c r="K37"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E23" i="38"/>
  <c r="K17" i="38"/>
  <c r="K23" i="38"/>
  <c r="J17" i="38"/>
  <c r="J23" i="38"/>
  <c r="I17" i="38"/>
  <c r="I23" i="38" s="1"/>
  <c r="D17" i="38"/>
  <c r="D23" i="38" s="1"/>
  <c r="C17" i="38"/>
  <c r="A24" i="38"/>
  <c r="D18" i="5"/>
  <c r="Q27" i="21"/>
  <c r="Q22" i="21"/>
  <c r="S22" i="21" s="1"/>
  <c r="Q17" i="21"/>
  <c r="A2" i="41"/>
  <c r="A11" i="41"/>
  <c r="A12" i="41" s="1"/>
  <c r="A13" i="41" s="1"/>
  <c r="A14" i="41" s="1"/>
  <c r="A15" i="41"/>
  <c r="A16" i="41" s="1"/>
  <c r="A17" i="41" s="1"/>
  <c r="A18" i="41" s="1"/>
  <c r="A19" i="41" s="1"/>
  <c r="A20" i="41"/>
  <c r="A21" i="41" s="1"/>
  <c r="A22" i="41" s="1"/>
  <c r="A23" i="41" s="1"/>
  <c r="G12" i="41"/>
  <c r="G13" i="41"/>
  <c r="G16" i="41"/>
  <c r="G17" i="41"/>
  <c r="G18" i="41"/>
  <c r="G21" i="41"/>
  <c r="G22" i="41"/>
  <c r="H29" i="41"/>
  <c r="H31" i="41"/>
  <c r="H33" i="41"/>
  <c r="H35" i="41"/>
  <c r="H37" i="41"/>
  <c r="H39" i="41"/>
  <c r="H41" i="41"/>
  <c r="E64" i="41"/>
  <c r="E65" i="41"/>
  <c r="E66" i="41"/>
  <c r="E67" i="41"/>
  <c r="E68" i="41"/>
  <c r="E69" i="41"/>
  <c r="E70" i="41"/>
  <c r="E71" i="41"/>
  <c r="E72" i="41"/>
  <c r="F73" i="41"/>
  <c r="C74" i="41"/>
  <c r="E50" i="41" s="1"/>
  <c r="D74" i="41"/>
  <c r="B85" i="41"/>
  <c r="B86" i="41"/>
  <c r="B87" i="41"/>
  <c r="C88" i="41"/>
  <c r="D88" i="41"/>
  <c r="D89" i="41"/>
  <c r="D104" i="41" s="1"/>
  <c r="B91" i="41"/>
  <c r="B92" i="41"/>
  <c r="B93" i="41"/>
  <c r="C94" i="41"/>
  <c r="D94" i="41"/>
  <c r="B97" i="41"/>
  <c r="B98" i="41"/>
  <c r="B99" i="41"/>
  <c r="C100" i="41"/>
  <c r="C101" i="41" s="1"/>
  <c r="D100" i="41"/>
  <c r="D101" i="41" s="1"/>
  <c r="E101" i="41" s="1"/>
  <c r="G20" i="41"/>
  <c r="H40" i="41"/>
  <c r="H38" i="41"/>
  <c r="H36" i="41"/>
  <c r="H34" i="41"/>
  <c r="H32" i="41"/>
  <c r="H30" i="41"/>
  <c r="G14" i="41"/>
  <c r="G19" i="41"/>
  <c r="G15" i="41"/>
  <c r="G11" i="41"/>
  <c r="E110" i="2"/>
  <c r="E88" i="35"/>
  <c r="D88" i="35"/>
  <c r="E67" i="35"/>
  <c r="F67" i="35"/>
  <c r="D67" i="35"/>
  <c r="A69" i="35"/>
  <c r="A71" i="35"/>
  <c r="A75" i="35" s="1"/>
  <c r="A76" i="35" s="1"/>
  <c r="A77" i="35" s="1"/>
  <c r="A78" i="35" s="1"/>
  <c r="A79" i="35"/>
  <c r="A80" i="35" s="1"/>
  <c r="E80" i="35"/>
  <c r="D80" i="35"/>
  <c r="F79" i="35"/>
  <c r="F78" i="35"/>
  <c r="F77" i="35"/>
  <c r="F76" i="35"/>
  <c r="F75" i="35"/>
  <c r="F71" i="35"/>
  <c r="L106" i="2" s="1"/>
  <c r="F69" i="35"/>
  <c r="G106" i="2" s="1"/>
  <c r="A11" i="35"/>
  <c r="A12" i="35" s="1"/>
  <c r="A13" i="35" s="1"/>
  <c r="A14" i="35" s="1"/>
  <c r="A15" i="35"/>
  <c r="A16" i="35" s="1"/>
  <c r="A17" i="35" s="1"/>
  <c r="A18" i="35" s="1"/>
  <c r="A19" i="35" s="1"/>
  <c r="A20" i="35" s="1"/>
  <c r="A21" i="35" s="1"/>
  <c r="A22" i="35" s="1"/>
  <c r="A23" i="35" s="1"/>
  <c r="A2" i="35"/>
  <c r="I54" i="30"/>
  <c r="I51" i="30"/>
  <c r="I50" i="30"/>
  <c r="I49" i="30"/>
  <c r="I44" i="30"/>
  <c r="I43" i="30"/>
  <c r="I40" i="30"/>
  <c r="B21" i="7"/>
  <c r="K27" i="8"/>
  <c r="K31" i="8" s="1"/>
  <c r="G15" i="2" s="1"/>
  <c r="L15" i="2" s="1"/>
  <c r="I27" i="8"/>
  <c r="I31" i="8" s="1"/>
  <c r="B11" i="7"/>
  <c r="E65" i="30"/>
  <c r="E27" i="11" s="1"/>
  <c r="I27" i="11" s="1"/>
  <c r="O83" i="13"/>
  <c r="P83" i="13"/>
  <c r="J21" i="8"/>
  <c r="J19" i="8"/>
  <c r="J17" i="8"/>
  <c r="J15" i="8"/>
  <c r="J13" i="8"/>
  <c r="L89" i="13"/>
  <c r="L97" i="13"/>
  <c r="C102" i="13"/>
  <c r="C103" i="13"/>
  <c r="C104" i="13"/>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D102" i="13"/>
  <c r="M102" i="13"/>
  <c r="O102"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14" i="30"/>
  <c r="E40" i="11" s="1"/>
  <c r="M40" i="11" s="1"/>
  <c r="E102" i="30"/>
  <c r="E85" i="30"/>
  <c r="E36" i="11" s="1"/>
  <c r="K36" i="11" s="1"/>
  <c r="E34" i="11"/>
  <c r="M34" i="11" s="1"/>
  <c r="E67" i="30"/>
  <c r="E28" i="11" s="1"/>
  <c r="I28" i="11" s="1"/>
  <c r="E52" i="30"/>
  <c r="E23" i="11" s="1"/>
  <c r="G23" i="11" s="1"/>
  <c r="M82" i="11" s="1"/>
  <c r="D61" i="9"/>
  <c r="D21" i="9"/>
  <c r="G148" i="2" s="1"/>
  <c r="L26" i="20"/>
  <c r="A4" i="21"/>
  <c r="A4" i="30"/>
  <c r="A4" i="11"/>
  <c r="A4" i="10"/>
  <c r="A4" i="9"/>
  <c r="A4" i="8"/>
  <c r="A4" i="7"/>
  <c r="A4" i="6"/>
  <c r="A4" i="5"/>
  <c r="F7" i="2"/>
  <c r="F56" i="2" s="1"/>
  <c r="F130" i="2" s="1"/>
  <c r="F218" i="2"/>
  <c r="F263" i="2" s="1"/>
  <c r="F16" i="13"/>
  <c r="F18" i="13"/>
  <c r="E23" i="13"/>
  <c r="F16" i="20"/>
  <c r="F18" i="20" s="1"/>
  <c r="E23" i="20" s="1"/>
  <c r="L18" i="2"/>
  <c r="B13" i="2"/>
  <c r="C47" i="20" s="1"/>
  <c r="G94" i="6"/>
  <c r="G30" i="6" s="1"/>
  <c r="G31" i="6" s="1"/>
  <c r="G119" i="2" s="1"/>
  <c r="L119" i="2" s="1"/>
  <c r="O8" i="20"/>
  <c r="E38" i="9"/>
  <c r="E37" i="9"/>
  <c r="E36" i="9"/>
  <c r="E41" i="9" s="1"/>
  <c r="E46" i="30"/>
  <c r="E22" i="11" s="1"/>
  <c r="G22" i="11" s="1"/>
  <c r="E15" i="30"/>
  <c r="E17" i="11" s="1"/>
  <c r="M17" i="11" s="1"/>
  <c r="E73" i="30"/>
  <c r="E31" i="11" s="1"/>
  <c r="M31" i="11" s="1"/>
  <c r="L234" i="2"/>
  <c r="L236" i="2"/>
  <c r="L237" i="2"/>
  <c r="L238" i="2"/>
  <c r="F239" i="2"/>
  <c r="G239" i="2"/>
  <c r="I39" i="6"/>
  <c r="K41" i="6"/>
  <c r="E41" i="6" s="1"/>
  <c r="C21" i="7"/>
  <c r="C23" i="7" s="1"/>
  <c r="G123" i="2" s="1"/>
  <c r="L123" i="2" s="1"/>
  <c r="E63" i="30"/>
  <c r="E26" i="11" s="1"/>
  <c r="I26" i="11" s="1"/>
  <c r="E35" i="30"/>
  <c r="E21" i="11" s="1"/>
  <c r="G21" i="11" s="1"/>
  <c r="E107" i="30"/>
  <c r="E39" i="11" s="1"/>
  <c r="M39" i="11" s="1"/>
  <c r="E117" i="30"/>
  <c r="E41" i="11" s="1"/>
  <c r="M41" i="11" s="1"/>
  <c r="E81" i="30"/>
  <c r="E35" i="11" s="1"/>
  <c r="K35" i="11" s="1"/>
  <c r="E95" i="30"/>
  <c r="E37" i="11" s="1"/>
  <c r="K37" i="11" s="1"/>
  <c r="G161" i="2"/>
  <c r="G162" i="2"/>
  <c r="F71" i="9"/>
  <c r="G163" i="2" s="1"/>
  <c r="L163" i="2" s="1"/>
  <c r="O17" i="21"/>
  <c r="O22" i="21"/>
  <c r="O27" i="21"/>
  <c r="I17" i="6"/>
  <c r="G114" i="2" s="1"/>
  <c r="I19" i="6"/>
  <c r="G115" i="2" s="1"/>
  <c r="I21" i="6"/>
  <c r="G116" i="2" s="1"/>
  <c r="D71" i="9"/>
  <c r="A24" i="9"/>
  <c r="A25" i="9" s="1"/>
  <c r="A26" i="9" s="1"/>
  <c r="A27" i="9" s="1"/>
  <c r="A28" i="9"/>
  <c r="A29" i="9" s="1"/>
  <c r="A30" i="9" s="1"/>
  <c r="A31" i="9" s="1"/>
  <c r="A32" i="9"/>
  <c r="A33" i="9" s="1"/>
  <c r="A15" i="7"/>
  <c r="A17" i="7"/>
  <c r="A18" i="7"/>
  <c r="A19" i="7" s="1"/>
  <c r="A21" i="7" s="1"/>
  <c r="A23" i="7" s="1"/>
  <c r="A17" i="6"/>
  <c r="A19" i="6"/>
  <c r="A21" i="6" s="1"/>
  <c r="A27" i="6" s="1"/>
  <c r="A29" i="6" s="1"/>
  <c r="A30" i="6" s="1"/>
  <c r="A31" i="6" s="1"/>
  <c r="A37" i="6" s="1"/>
  <c r="A39" i="6" s="1"/>
  <c r="A40" i="6" s="1"/>
  <c r="A41" i="6" s="1"/>
  <c r="A42" i="6" s="1"/>
  <c r="A43" i="6" s="1"/>
  <c r="A44" i="6" s="1"/>
  <c r="A45" i="6" s="1"/>
  <c r="A46" i="6" s="1"/>
  <c r="K42" i="6"/>
  <c r="E42" i="6" s="1"/>
  <c r="K40" i="6"/>
  <c r="E40" i="6" s="1"/>
  <c r="E65" i="9"/>
  <c r="E64" i="9"/>
  <c r="A15" i="30"/>
  <c r="A25" i="30" s="1"/>
  <c r="A27" i="30" s="1"/>
  <c r="A35" i="30" s="1"/>
  <c r="A46" i="30" s="1"/>
  <c r="A53" i="30" s="1"/>
  <c r="A62" i="30" s="1"/>
  <c r="A63" i="30" s="1"/>
  <c r="A65" i="30" s="1"/>
  <c r="A67" i="30" s="1"/>
  <c r="A73" i="30" s="1"/>
  <c r="A74" i="30" s="1"/>
  <c r="A76" i="30" s="1"/>
  <c r="A77" i="30" s="1"/>
  <c r="A81" i="30" s="1"/>
  <c r="A85" i="30" s="1"/>
  <c r="A95" i="30" s="1"/>
  <c r="A102" i="30" s="1"/>
  <c r="A107" i="30" s="1"/>
  <c r="A114" i="30" s="1"/>
  <c r="A117" i="30" s="1"/>
  <c r="A120" i="30" s="1"/>
  <c r="G207" i="2"/>
  <c r="L207" i="2"/>
  <c r="A17" i="11"/>
  <c r="A19" i="11" s="1"/>
  <c r="A20" i="11" s="1"/>
  <c r="A21" i="11" s="1"/>
  <c r="A22" i="11"/>
  <c r="A23" i="11" s="1"/>
  <c r="A25" i="11" s="1"/>
  <c r="A26" i="11" s="1"/>
  <c r="A27" i="11" s="1"/>
  <c r="A28" i="11" s="1"/>
  <c r="A30" i="11" s="1"/>
  <c r="A31" i="11" s="1"/>
  <c r="A33" i="11" s="1"/>
  <c r="A34" i="11" s="1"/>
  <c r="A35" i="11" s="1"/>
  <c r="A36" i="11" s="1"/>
  <c r="A37" i="11" s="1"/>
  <c r="A38" i="11" s="1"/>
  <c r="A39" i="11" s="1"/>
  <c r="A40" i="11" s="1"/>
  <c r="A41" i="11" s="1"/>
  <c r="A42" i="11" s="1"/>
  <c r="A43" i="11" s="1"/>
  <c r="D94" i="6"/>
  <c r="D30" i="6" s="1"/>
  <c r="I50" i="5"/>
  <c r="J29" i="8"/>
  <c r="A4" i="13"/>
  <c r="A4" i="20"/>
  <c r="C60" i="13"/>
  <c r="L173" i="2"/>
  <c r="G160" i="2"/>
  <c r="K33" i="21"/>
  <c r="A22" i="21"/>
  <c r="A27" i="21"/>
  <c r="A33" i="21"/>
  <c r="D209" i="2" s="1"/>
  <c r="L168" i="2"/>
  <c r="F48" i="13"/>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6" i="6"/>
  <c r="B64" i="6" s="1"/>
  <c r="G12" i="6"/>
  <c r="G10" i="5"/>
  <c r="B4" i="14"/>
  <c r="O8" i="13"/>
  <c r="P8" i="13"/>
  <c r="C11" i="13"/>
  <c r="C14" i="13"/>
  <c r="C18" i="13"/>
  <c r="C26" i="13"/>
  <c r="C32" i="13"/>
  <c r="C42" i="13"/>
  <c r="C43" i="13"/>
  <c r="C53" i="13"/>
  <c r="C55" i="13"/>
  <c r="C58" i="13"/>
  <c r="C62" i="13"/>
  <c r="C65" i="13"/>
  <c r="C66" i="13"/>
  <c r="C68" i="13"/>
  <c r="C69" i="13"/>
  <c r="C71" i="13"/>
  <c r="A4" i="12"/>
  <c r="A6" i="12"/>
  <c r="E44" i="9"/>
  <c r="E45" i="9"/>
  <c r="E46" i="9"/>
  <c r="E47" i="9"/>
  <c r="E48" i="9"/>
  <c r="E49" i="9"/>
  <c r="E50" i="9"/>
  <c r="E66" i="9"/>
  <c r="A3" i="6"/>
  <c r="A3" i="7" s="1"/>
  <c r="A15" i="8"/>
  <c r="A17" i="8" s="1"/>
  <c r="A19" i="8" s="1"/>
  <c r="A21" i="8" s="1"/>
  <c r="A27" i="8" s="1"/>
  <c r="A29" i="8" s="1"/>
  <c r="A31" i="8" s="1"/>
  <c r="A39" i="8" s="1"/>
  <c r="E12" i="6"/>
  <c r="C29" i="6"/>
  <c r="D36" i="6"/>
  <c r="B34" i="6" s="1"/>
  <c r="E10" i="5"/>
  <c r="A17" i="5"/>
  <c r="F54" i="2"/>
  <c r="F128" i="2"/>
  <c r="F216" i="2"/>
  <c r="F261" i="2" s="1"/>
  <c r="F55" i="2"/>
  <c r="F129" i="2"/>
  <c r="F217" i="2"/>
  <c r="F262" i="2" s="1"/>
  <c r="F58" i="2"/>
  <c r="F132" i="2"/>
  <c r="F220" i="2" s="1"/>
  <c r="F265" i="2" s="1"/>
  <c r="B64" i="2"/>
  <c r="B138" i="2"/>
  <c r="B65" i="2"/>
  <c r="B139" i="2" s="1"/>
  <c r="D78" i="2"/>
  <c r="D90" i="2"/>
  <c r="D80" i="2"/>
  <c r="D91" i="2" s="1"/>
  <c r="D82" i="2"/>
  <c r="D92" i="2"/>
  <c r="D84" i="2"/>
  <c r="D93" i="2" s="1"/>
  <c r="D86" i="2"/>
  <c r="D94" i="2"/>
  <c r="E136" i="2"/>
  <c r="L136" i="2"/>
  <c r="E137" i="2"/>
  <c r="G137" i="2"/>
  <c r="I137" i="2"/>
  <c r="L137" i="2"/>
  <c r="G145" i="2"/>
  <c r="D174" i="2"/>
  <c r="H237" i="2"/>
  <c r="H238" i="2"/>
  <c r="L82" i="2"/>
  <c r="G86" i="2"/>
  <c r="C33" i="39"/>
  <c r="I33" i="39"/>
  <c r="C41" i="39"/>
  <c r="I41" i="39"/>
  <c r="K42" i="39"/>
  <c r="C27" i="39"/>
  <c r="C51" i="39"/>
  <c r="I51" i="39"/>
  <c r="I79" i="39"/>
  <c r="D79" i="39"/>
  <c r="G79" i="39" s="1"/>
  <c r="I96" i="39"/>
  <c r="D96" i="39"/>
  <c r="O118" i="39"/>
  <c r="J18" i="39"/>
  <c r="K23" i="39"/>
  <c r="I25" i="39"/>
  <c r="D26" i="39"/>
  <c r="D33" i="39"/>
  <c r="G33" i="39" s="1"/>
  <c r="K34" i="39"/>
  <c r="D41" i="39"/>
  <c r="D51" i="39"/>
  <c r="K52" i="39"/>
  <c r="K56" i="39"/>
  <c r="C62" i="39"/>
  <c r="I62" i="39"/>
  <c r="K68" i="39"/>
  <c r="C68" i="39"/>
  <c r="K69" i="39"/>
  <c r="C78" i="39"/>
  <c r="I78" i="39"/>
  <c r="K85" i="39"/>
  <c r="C85" i="39"/>
  <c r="C95" i="39"/>
  <c r="G95" i="39" s="1"/>
  <c r="I95" i="39"/>
  <c r="C17" i="39"/>
  <c r="K17" i="39"/>
  <c r="Q118" i="39"/>
  <c r="C19" i="39"/>
  <c r="J20" i="39"/>
  <c r="J22" i="39"/>
  <c r="J23" i="39"/>
  <c r="K27" i="39"/>
  <c r="J28" i="39"/>
  <c r="C29" i="39"/>
  <c r="I29" i="39"/>
  <c r="K35" i="39"/>
  <c r="J36" i="39"/>
  <c r="C37" i="39"/>
  <c r="I37" i="39"/>
  <c r="K43" i="39"/>
  <c r="J44" i="39"/>
  <c r="C45" i="39"/>
  <c r="I45" i="39"/>
  <c r="K53" i="39"/>
  <c r="J54" i="39"/>
  <c r="J56" i="39"/>
  <c r="J62" i="39"/>
  <c r="K71" i="39"/>
  <c r="C72" i="39"/>
  <c r="G72" i="39" s="1"/>
  <c r="K88" i="39"/>
  <c r="I88" i="39"/>
  <c r="D88" i="39"/>
  <c r="C89" i="39"/>
  <c r="J95" i="39"/>
  <c r="D17" i="39"/>
  <c r="I17" i="39"/>
  <c r="R118" i="39"/>
  <c r="I20" i="39"/>
  <c r="C21" i="39"/>
  <c r="D23" i="39"/>
  <c r="G23" i="39" s="1"/>
  <c r="J24" i="39"/>
  <c r="C31" i="39"/>
  <c r="C32" i="39"/>
  <c r="D32" i="39"/>
  <c r="D34" i="39"/>
  <c r="G34" i="39" s="1"/>
  <c r="C39" i="39"/>
  <c r="C40" i="39"/>
  <c r="D40" i="39"/>
  <c r="D42" i="39"/>
  <c r="C48" i="39"/>
  <c r="C50" i="39"/>
  <c r="D50" i="39"/>
  <c r="D52" i="39"/>
  <c r="K60" i="39"/>
  <c r="C60" i="39"/>
  <c r="G60" i="39" s="1"/>
  <c r="K61" i="39"/>
  <c r="C70" i="39"/>
  <c r="G70" i="39" s="1"/>
  <c r="I70" i="39"/>
  <c r="K76" i="39"/>
  <c r="C76" i="39"/>
  <c r="D78" i="39"/>
  <c r="C87" i="39"/>
  <c r="I87" i="39"/>
  <c r="K93" i="39"/>
  <c r="C93" i="39"/>
  <c r="K94" i="39"/>
  <c r="N118" i="39"/>
  <c r="S118" i="39"/>
  <c r="C55" i="39"/>
  <c r="J57" i="39"/>
  <c r="C58" i="39"/>
  <c r="G58" i="39" s="1"/>
  <c r="I58" i="39"/>
  <c r="I63" i="39"/>
  <c r="K64" i="39"/>
  <c r="J65" i="39"/>
  <c r="C66" i="39"/>
  <c r="I66" i="39"/>
  <c r="I71" i="39"/>
  <c r="K72" i="39"/>
  <c r="J73" i="39"/>
  <c r="C74" i="39"/>
  <c r="I74" i="39"/>
  <c r="K80" i="39"/>
  <c r="J81" i="39"/>
  <c r="C82" i="39"/>
  <c r="I82" i="39"/>
  <c r="K89" i="39"/>
  <c r="J90" i="39"/>
  <c r="C91" i="39"/>
  <c r="G91" i="39" s="1"/>
  <c r="I91" i="39"/>
  <c r="K97" i="39"/>
  <c r="C61" i="39"/>
  <c r="D61" i="39"/>
  <c r="C69" i="39"/>
  <c r="D69" i="39"/>
  <c r="C77" i="39"/>
  <c r="D77" i="39"/>
  <c r="C86" i="39"/>
  <c r="D86" i="39"/>
  <c r="C94" i="39"/>
  <c r="D94" i="39"/>
  <c r="C31" i="38"/>
  <c r="C63" i="38"/>
  <c r="I63" i="38"/>
  <c r="K66" i="38"/>
  <c r="C66" i="38"/>
  <c r="C86" i="38"/>
  <c r="J86" i="38"/>
  <c r="I94" i="38"/>
  <c r="D94" i="38"/>
  <c r="K97" i="38"/>
  <c r="C97" i="38"/>
  <c r="C114" i="38"/>
  <c r="I114" i="38"/>
  <c r="K117" i="38"/>
  <c r="C117" i="38"/>
  <c r="C120" i="38"/>
  <c r="J120" i="38"/>
  <c r="C121" i="38"/>
  <c r="J121" i="38"/>
  <c r="I128" i="38"/>
  <c r="D128" i="38"/>
  <c r="K174" i="38"/>
  <c r="D174" i="38"/>
  <c r="G190" i="38"/>
  <c r="C28" i="38"/>
  <c r="J28" i="38"/>
  <c r="C33" i="38"/>
  <c r="C35" i="38"/>
  <c r="K43" i="38"/>
  <c r="I50" i="38"/>
  <c r="J52" i="38"/>
  <c r="C53" i="38"/>
  <c r="I53" i="38"/>
  <c r="I59" i="38"/>
  <c r="K87" i="38"/>
  <c r="K98" i="38"/>
  <c r="C100" i="38"/>
  <c r="I100" i="38"/>
  <c r="J109" i="38"/>
  <c r="J114" i="38"/>
  <c r="K120" i="38"/>
  <c r="K121" i="38"/>
  <c r="K132" i="38"/>
  <c r="I135" i="38"/>
  <c r="C135" i="38"/>
  <c r="D158" i="38"/>
  <c r="G158" i="38" s="1"/>
  <c r="I158" i="38"/>
  <c r="K162" i="38"/>
  <c r="D166" i="38"/>
  <c r="I166" i="38"/>
  <c r="C167" i="38"/>
  <c r="I178" i="38"/>
  <c r="D178" i="38"/>
  <c r="G178" i="38" s="1"/>
  <c r="C181" i="38"/>
  <c r="G181" i="38" s="1"/>
  <c r="C29" i="38"/>
  <c r="G29" i="38" s="1"/>
  <c r="I30" i="38"/>
  <c r="K31" i="38"/>
  <c r="K32" i="38"/>
  <c r="I33" i="38"/>
  <c r="D34" i="38"/>
  <c r="K35" i="38"/>
  <c r="J37" i="38"/>
  <c r="K38" i="38"/>
  <c r="C39" i="38"/>
  <c r="C40" i="38"/>
  <c r="D40" i="38"/>
  <c r="J43" i="38"/>
  <c r="K44" i="38"/>
  <c r="J45" i="38"/>
  <c r="K46" i="38"/>
  <c r="C47" i="38"/>
  <c r="C48" i="38"/>
  <c r="D48" i="38"/>
  <c r="J51" i="38"/>
  <c r="K52" i="38"/>
  <c r="J53" i="38"/>
  <c r="K54" i="38"/>
  <c r="C55" i="38"/>
  <c r="C56" i="38"/>
  <c r="D56" i="38"/>
  <c r="I61" i="38"/>
  <c r="D61" i="38"/>
  <c r="C62" i="38"/>
  <c r="K64" i="38"/>
  <c r="C64" i="38"/>
  <c r="G64" i="38" s="1"/>
  <c r="C65" i="38"/>
  <c r="I88" i="38"/>
  <c r="C89" i="38"/>
  <c r="D91" i="38"/>
  <c r="C96" i="38"/>
  <c r="I96" i="38"/>
  <c r="J98" i="38"/>
  <c r="D98" i="38"/>
  <c r="K99" i="38"/>
  <c r="C99" i="38"/>
  <c r="C102" i="38"/>
  <c r="J102" i="38"/>
  <c r="C103" i="38"/>
  <c r="J103" i="38"/>
  <c r="D106" i="38"/>
  <c r="G106" i="38" s="1"/>
  <c r="C109" i="38"/>
  <c r="I112" i="38"/>
  <c r="D112" i="38"/>
  <c r="C113" i="38"/>
  <c r="K115" i="38"/>
  <c r="C115" i="38"/>
  <c r="C116" i="38"/>
  <c r="I122" i="38"/>
  <c r="D125" i="38"/>
  <c r="C130" i="38"/>
  <c r="I130" i="38"/>
  <c r="J132" i="38"/>
  <c r="D132" i="38"/>
  <c r="K133" i="38"/>
  <c r="C133" i="38"/>
  <c r="C136" i="38"/>
  <c r="J136" i="38"/>
  <c r="C137" i="38"/>
  <c r="J137" i="38"/>
  <c r="D140" i="38"/>
  <c r="D142" i="38"/>
  <c r="C145" i="38"/>
  <c r="J145" i="38"/>
  <c r="C172" i="38"/>
  <c r="I172" i="38"/>
  <c r="C174" i="38"/>
  <c r="G174" i="38" s="1"/>
  <c r="K183" i="38"/>
  <c r="C87" i="38"/>
  <c r="J87" i="38"/>
  <c r="K131" i="38"/>
  <c r="C131" i="38"/>
  <c r="J141" i="38"/>
  <c r="C141" i="38"/>
  <c r="I146" i="38"/>
  <c r="C146" i="38"/>
  <c r="K159" i="38"/>
  <c r="C159" i="38"/>
  <c r="C170" i="38"/>
  <c r="G170" i="38" s="1"/>
  <c r="J170" i="38"/>
  <c r="C171" i="38"/>
  <c r="J171" i="38"/>
  <c r="C34" i="38"/>
  <c r="J35" i="38"/>
  <c r="C37" i="38"/>
  <c r="I37" i="38"/>
  <c r="I42" i="38"/>
  <c r="J44" i="38"/>
  <c r="C45" i="38"/>
  <c r="I45" i="38"/>
  <c r="K51" i="38"/>
  <c r="J63" i="38"/>
  <c r="D86" i="38"/>
  <c r="I89" i="38"/>
  <c r="I101" i="38"/>
  <c r="C101" i="38"/>
  <c r="I123" i="38"/>
  <c r="C134" i="38"/>
  <c r="G134" i="38" s="1"/>
  <c r="I134" i="38"/>
  <c r="D141" i="38"/>
  <c r="I162" i="38"/>
  <c r="D162" i="38"/>
  <c r="K166" i="38"/>
  <c r="C175" i="38"/>
  <c r="G175" i="38" s="1"/>
  <c r="I175" i="38"/>
  <c r="C32" i="38"/>
  <c r="C41" i="38"/>
  <c r="I41" i="38"/>
  <c r="I44" i="38"/>
  <c r="C49" i="38"/>
  <c r="I49" i="38"/>
  <c r="I52" i="38"/>
  <c r="C58" i="38"/>
  <c r="I58" i="38"/>
  <c r="J62" i="38"/>
  <c r="C67" i="38"/>
  <c r="G67" i="38" s="1"/>
  <c r="I67" i="38"/>
  <c r="I68" i="38"/>
  <c r="C68" i="38"/>
  <c r="D101" i="38"/>
  <c r="G101" i="38" s="1"/>
  <c r="D110" i="38"/>
  <c r="J113" i="38"/>
  <c r="C118" i="38"/>
  <c r="I118" i="38"/>
  <c r="I119" i="38"/>
  <c r="C119" i="38"/>
  <c r="D135" i="38"/>
  <c r="K144" i="38"/>
  <c r="C144" i="38"/>
  <c r="J146" i="38"/>
  <c r="I151" i="38"/>
  <c r="C168" i="38"/>
  <c r="I168" i="38"/>
  <c r="D182" i="38"/>
  <c r="I182" i="38"/>
  <c r="J67" i="38"/>
  <c r="K91" i="38"/>
  <c r="I93" i="38"/>
  <c r="J100" i="38"/>
  <c r="K109" i="38"/>
  <c r="I111" i="38"/>
  <c r="J118" i="38"/>
  <c r="K125" i="38"/>
  <c r="I127" i="38"/>
  <c r="J134" i="38"/>
  <c r="K142" i="38"/>
  <c r="I148" i="38"/>
  <c r="C148" i="38"/>
  <c r="C150" i="38"/>
  <c r="J150" i="38"/>
  <c r="D160" i="38"/>
  <c r="I160" i="38"/>
  <c r="K171" i="38"/>
  <c r="I177" i="38"/>
  <c r="C180" i="38"/>
  <c r="G180" i="38" s="1"/>
  <c r="I180" i="38"/>
  <c r="K62" i="38"/>
  <c r="I64" i="38"/>
  <c r="K86" i="38"/>
  <c r="D87" i="38"/>
  <c r="J88" i="38"/>
  <c r="C92" i="38"/>
  <c r="G92" i="38" s="1"/>
  <c r="K95" i="38"/>
  <c r="I97" i="38"/>
  <c r="D103" i="38"/>
  <c r="J104" i="38"/>
  <c r="C110" i="38"/>
  <c r="K113" i="38"/>
  <c r="I115" i="38"/>
  <c r="D121" i="38"/>
  <c r="J122" i="38"/>
  <c r="C126" i="38"/>
  <c r="K129" i="38"/>
  <c r="I131" i="38"/>
  <c r="D137" i="38"/>
  <c r="K138" i="38"/>
  <c r="D145" i="38"/>
  <c r="K150" i="38"/>
  <c r="K161" i="38"/>
  <c r="D163" i="38"/>
  <c r="G163" i="38"/>
  <c r="C164" i="38"/>
  <c r="K165" i="38"/>
  <c r="D167" i="38"/>
  <c r="J167" i="38"/>
  <c r="D168" i="38"/>
  <c r="C177" i="38"/>
  <c r="G177" i="38" s="1"/>
  <c r="J180" i="38"/>
  <c r="D138" i="38"/>
  <c r="J139" i="38"/>
  <c r="J143" i="38"/>
  <c r="C147" i="38"/>
  <c r="I147" i="38"/>
  <c r="C149" i="38"/>
  <c r="G149" i="38" s="1"/>
  <c r="D159" i="38"/>
  <c r="I161" i="38"/>
  <c r="J168" i="38"/>
  <c r="I169" i="38"/>
  <c r="C169" i="38"/>
  <c r="G169" i="38" s="1"/>
  <c r="K170" i="38"/>
  <c r="I173" i="38"/>
  <c r="J175" i="38"/>
  <c r="D176" i="38"/>
  <c r="D179" i="38"/>
  <c r="G179" i="38"/>
  <c r="I144" i="38"/>
  <c r="D150" i="38"/>
  <c r="J151" i="38"/>
  <c r="C160" i="38"/>
  <c r="K163" i="38"/>
  <c r="I165" i="38"/>
  <c r="D171" i="38"/>
  <c r="J172" i="38"/>
  <c r="C176" i="38"/>
  <c r="G176" i="38" s="1"/>
  <c r="K179" i="38"/>
  <c r="I181" i="38"/>
  <c r="G20" i="38"/>
  <c r="G177" i="2"/>
  <c r="L172" i="2"/>
  <c r="E27" i="30"/>
  <c r="E20" i="11" s="1"/>
  <c r="G20" i="11" s="1"/>
  <c r="F120" i="30"/>
  <c r="A3" i="8"/>
  <c r="G61" i="6"/>
  <c r="G29" i="6" s="1"/>
  <c r="D95" i="41"/>
  <c r="E106" i="2"/>
  <c r="E100" i="41"/>
  <c r="D103" i="41"/>
  <c r="D105" i="41" s="1"/>
  <c r="E199" i="38"/>
  <c r="E205" i="38" s="1"/>
  <c r="G19" i="38"/>
  <c r="F23" i="38"/>
  <c r="A203" i="38"/>
  <c r="C95" i="41"/>
  <c r="D35" i="5"/>
  <c r="A206" i="38"/>
  <c r="E108" i="2"/>
  <c r="A84" i="35"/>
  <c r="E72" i="2"/>
  <c r="I54" i="32"/>
  <c r="C133" i="20"/>
  <c r="C134" i="20" s="1"/>
  <c r="C135" i="20" s="1"/>
  <c r="C136" i="20" s="1"/>
  <c r="C137" i="20" s="1"/>
  <c r="C138" i="20"/>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C222" i="20"/>
  <c r="C223" i="20" s="1"/>
  <c r="C224" i="20" s="1"/>
  <c r="C225" i="20"/>
  <c r="C226" i="20" s="1"/>
  <c r="C227" i="20" s="1"/>
  <c r="C228" i="20" s="1"/>
  <c r="C229" i="20" s="1"/>
  <c r="C230" i="20"/>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C316" i="20"/>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C407" i="20"/>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498" i="20"/>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578" i="20"/>
  <c r="C579" i="20" s="1"/>
  <c r="C580" i="20" s="1"/>
  <c r="C581" i="20" s="1"/>
  <c r="C582" i="20" s="1"/>
  <c r="C583" i="20" s="1"/>
  <c r="C584" i="20" s="1"/>
  <c r="C585" i="20" s="1"/>
  <c r="C586" i="20" s="1"/>
  <c r="C587" i="20" s="1"/>
  <c r="C588" i="20" s="1"/>
  <c r="C589" i="20"/>
  <c r="C590" i="20" s="1"/>
  <c r="C591" i="20" s="1"/>
  <c r="C592" i="20" s="1"/>
  <c r="C593" i="20" s="1"/>
  <c r="C594" i="20" s="1"/>
  <c r="C595" i="20" s="1"/>
  <c r="C596" i="20" s="1"/>
  <c r="C597" i="20" s="1"/>
  <c r="C598" i="20" s="1"/>
  <c r="C599" i="20" s="1"/>
  <c r="C600" i="20" s="1"/>
  <c r="C601" i="20" s="1"/>
  <c r="C602" i="20" s="1"/>
  <c r="C603" i="20" s="1"/>
  <c r="C604" i="20" s="1"/>
  <c r="C605" i="20" s="1"/>
  <c r="C606" i="20" s="1"/>
  <c r="C607" i="20" s="1"/>
  <c r="C669" i="20"/>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C760" i="20"/>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846" i="20"/>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1026" i="20"/>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1117" i="20"/>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C1208" i="20"/>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G48" i="20"/>
  <c r="C47" i="13"/>
  <c r="B15" i="2"/>
  <c r="B18" i="2" s="1"/>
  <c r="B20" i="2" s="1"/>
  <c r="B27" i="2" s="1"/>
  <c r="B29" i="2" s="1"/>
  <c r="B30" i="2" s="1"/>
  <c r="K39" i="6"/>
  <c r="E39" i="6" s="1"/>
  <c r="E251" i="2"/>
  <c r="E250" i="2"/>
  <c r="B23" i="7"/>
  <c r="E74" i="2"/>
  <c r="E66" i="2"/>
  <c r="G165" i="38"/>
  <c r="F80" i="35"/>
  <c r="G108" i="2"/>
  <c r="L108" i="2"/>
  <c r="F199" i="38"/>
  <c r="F205" i="38" s="1"/>
  <c r="I54" i="49"/>
  <c r="D21" i="49"/>
  <c r="I54" i="47"/>
  <c r="D21" i="47"/>
  <c r="D22" i="47"/>
  <c r="D23" i="47" s="1"/>
  <c r="D24" i="47" s="1"/>
  <c r="D25" i="47" s="1"/>
  <c r="D26" i="47" s="1"/>
  <c r="D27" i="47" s="1"/>
  <c r="D28" i="47" s="1"/>
  <c r="D29" i="47"/>
  <c r="D30" i="47"/>
  <c r="D31" i="47"/>
  <c r="D32" i="47" s="1"/>
  <c r="N1122" i="13"/>
  <c r="C1164" i="13"/>
  <c r="C1165" i="13" s="1"/>
  <c r="C1166" i="13" s="1"/>
  <c r="C1167" i="13" s="1"/>
  <c r="C1168" i="13"/>
  <c r="C1169" i="13" s="1"/>
  <c r="C1170" i="13" s="1"/>
  <c r="C1171" i="13" s="1"/>
  <c r="C1172" i="13" s="1"/>
  <c r="C1173" i="13" s="1"/>
  <c r="C1174" i="13" s="1"/>
  <c r="C1175" i="13" s="1"/>
  <c r="C1176" i="13" s="1"/>
  <c r="C1177" i="13" s="1"/>
  <c r="C1178" i="13" s="1"/>
  <c r="C1179" i="13" s="1"/>
  <c r="C1180" i="13" s="1"/>
  <c r="C1181" i="13" s="1"/>
  <c r="C1182" i="13" s="1"/>
  <c r="C1183" i="13" s="1"/>
  <c r="C1184" i="13" s="1"/>
  <c r="C1185" i="13" s="1"/>
  <c r="C1186" i="13" s="1"/>
  <c r="C1187" i="13" s="1"/>
  <c r="C1188" i="13" s="1"/>
  <c r="C1189" i="13" s="1"/>
  <c r="C1190" i="13" s="1"/>
  <c r="C1191" i="13" s="1"/>
  <c r="C1192" i="13" s="1"/>
  <c r="C1193" i="13" s="1"/>
  <c r="M1122" i="13"/>
  <c r="C934" i="20"/>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N1036" i="13"/>
  <c r="C1078" i="13"/>
  <c r="C1079" i="13"/>
  <c r="C1080" i="13"/>
  <c r="C1081" i="13" s="1"/>
  <c r="C1082" i="13" s="1"/>
  <c r="C1083" i="13" s="1"/>
  <c r="C1084" i="13" s="1"/>
  <c r="C1085" i="13" s="1"/>
  <c r="C1086" i="13" s="1"/>
  <c r="C1087" i="13" s="1"/>
  <c r="C1088" i="13" s="1"/>
  <c r="C1089" i="13" s="1"/>
  <c r="C1090" i="13" s="1"/>
  <c r="C1091" i="13" s="1"/>
  <c r="C1092" i="13" s="1"/>
  <c r="C1093" i="13" s="1"/>
  <c r="C1094" i="13" s="1"/>
  <c r="C1095" i="13" s="1"/>
  <c r="C1096" i="13" s="1"/>
  <c r="C1097" i="13" s="1"/>
  <c r="C1098" i="13" s="1"/>
  <c r="C1099" i="13" s="1"/>
  <c r="C1100" i="13" s="1"/>
  <c r="C1101" i="13" s="1"/>
  <c r="C1102" i="13" s="1"/>
  <c r="C1103" i="13" s="1"/>
  <c r="C1104" i="13" s="1"/>
  <c r="C1105" i="13" s="1"/>
  <c r="C1106" i="13" s="1"/>
  <c r="C1107" i="13" s="1"/>
  <c r="M1036" i="13"/>
  <c r="N950" i="13"/>
  <c r="C992" i="13"/>
  <c r="C993" i="13" s="1"/>
  <c r="C994" i="13" s="1"/>
  <c r="C995" i="13" s="1"/>
  <c r="C996" i="13" s="1"/>
  <c r="C997" i="13" s="1"/>
  <c r="C998" i="13" s="1"/>
  <c r="C999" i="13" s="1"/>
  <c r="C1000" i="13" s="1"/>
  <c r="C1001" i="13" s="1"/>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M950" i="13"/>
  <c r="N864" i="13"/>
  <c r="C906" i="13"/>
  <c r="C907" i="13" s="1"/>
  <c r="C908" i="13" s="1"/>
  <c r="C909" i="13" s="1"/>
  <c r="C910" i="13" s="1"/>
  <c r="C911" i="13" s="1"/>
  <c r="C912" i="13" s="1"/>
  <c r="C913" i="13" s="1"/>
  <c r="C914" i="13" s="1"/>
  <c r="C915" i="13" s="1"/>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M864" i="13"/>
  <c r="N778" i="13"/>
  <c r="C820" i="13"/>
  <c r="C821" i="13" s="1"/>
  <c r="C822" i="13" s="1"/>
  <c r="C823" i="13" s="1"/>
  <c r="C824" i="13" s="1"/>
  <c r="C825" i="13" s="1"/>
  <c r="C826" i="13" s="1"/>
  <c r="C827" i="13" s="1"/>
  <c r="C828" i="13" s="1"/>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N692" i="13"/>
  <c r="C734" i="13"/>
  <c r="C735" i="13"/>
  <c r="C736" i="13"/>
  <c r="C737" i="13" s="1"/>
  <c r="C738" i="13" s="1"/>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M692" i="13"/>
  <c r="N606" i="13"/>
  <c r="C648" i="13"/>
  <c r="C649" i="13"/>
  <c r="C650" i="13" s="1"/>
  <c r="C651" i="13" s="1"/>
  <c r="C652" i="13" s="1"/>
  <c r="C653" i="13" s="1"/>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M606" i="13"/>
  <c r="N520" i="13"/>
  <c r="C562" i="13"/>
  <c r="C563" i="13" s="1"/>
  <c r="C564" i="13" s="1"/>
  <c r="C565" i="13" s="1"/>
  <c r="C566" i="13" s="1"/>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M520" i="13"/>
  <c r="N434" i="13"/>
  <c r="C476" i="13"/>
  <c r="C477" i="13" s="1"/>
  <c r="C478" i="13" s="1"/>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M434" i="13"/>
  <c r="C390" i="13"/>
  <c r="C391" i="13" s="1"/>
  <c r="C392" i="13" s="1"/>
  <c r="C393" i="13" s="1"/>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N262" i="13"/>
  <c r="C307" i="13"/>
  <c r="C308" i="13" s="1"/>
  <c r="C309" i="13" s="1"/>
  <c r="C310" i="13"/>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M262" i="13"/>
  <c r="C132" i="13"/>
  <c r="C133" i="13" s="1"/>
  <c r="C134" i="13" s="1"/>
  <c r="C135" i="13"/>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O1048" i="13"/>
  <c r="O962" i="13"/>
  <c r="M1048" i="13"/>
  <c r="M962" i="13"/>
  <c r="M963" i="13"/>
  <c r="O963" i="13"/>
  <c r="O964" i="13"/>
  <c r="M964" i="13"/>
  <c r="O281" i="13"/>
  <c r="M281" i="13"/>
  <c r="M198" i="13"/>
  <c r="O198" i="13"/>
  <c r="I47" i="30"/>
  <c r="I28" i="30"/>
  <c r="I36" i="30"/>
  <c r="F22" i="49"/>
  <c r="F23" i="49"/>
  <c r="F24" i="49" s="1"/>
  <c r="K43" i="48"/>
  <c r="I53" i="30"/>
  <c r="I61" i="6"/>
  <c r="I29" i="6" s="1"/>
  <c r="I94" i="6"/>
  <c r="I30" i="6" s="1"/>
  <c r="K94" i="6"/>
  <c r="K30" i="6" s="1"/>
  <c r="J94" i="6"/>
  <c r="J30" i="6" s="1"/>
  <c r="E94" i="6"/>
  <c r="E30" i="6" s="1"/>
  <c r="J61" i="6"/>
  <c r="J29" i="6" s="1"/>
  <c r="D33" i="9"/>
  <c r="G146" i="2" s="1"/>
  <c r="C1251" i="13"/>
  <c r="C1252" i="13" s="1"/>
  <c r="C1253" i="13" s="1"/>
  <c r="C1254" i="13" s="1"/>
  <c r="C1255" i="13" s="1"/>
  <c r="C1256" i="13" s="1"/>
  <c r="C1257" i="13" s="1"/>
  <c r="C1258" i="13" s="1"/>
  <c r="C1259" i="13" s="1"/>
  <c r="C1260" i="13" s="1"/>
  <c r="C1261" i="13" s="1"/>
  <c r="C1262" i="13" s="1"/>
  <c r="C1263" i="13" s="1"/>
  <c r="C1264" i="13" s="1"/>
  <c r="C1265" i="13" s="1"/>
  <c r="C1266" i="13" s="1"/>
  <c r="C1267" i="13" s="1"/>
  <c r="C1268" i="13" s="1"/>
  <c r="C1269" i="13" s="1"/>
  <c r="C1270" i="13" s="1"/>
  <c r="C1271" i="13" s="1"/>
  <c r="C1272" i="13" s="1"/>
  <c r="C1273" i="13" s="1"/>
  <c r="C1274" i="13" s="1"/>
  <c r="C1275" i="13" s="1"/>
  <c r="C1276" i="13" s="1"/>
  <c r="C1277" i="13" s="1"/>
  <c r="C1278" i="13" s="1"/>
  <c r="C1279" i="13" s="1"/>
  <c r="C1280" i="13" s="1"/>
  <c r="N1209" i="13"/>
  <c r="M1209" i="13"/>
  <c r="M1221" i="13"/>
  <c r="O1221" i="13"/>
  <c r="G83" i="39"/>
  <c r="G216" i="38"/>
  <c r="G168" i="38"/>
  <c r="G96" i="39"/>
  <c r="F118" i="39"/>
  <c r="E118" i="39"/>
  <c r="F88" i="35" l="1"/>
  <c r="G110" i="2" s="1"/>
  <c r="G93" i="2"/>
  <c r="K48" i="11" s="1"/>
  <c r="G87" i="2"/>
  <c r="J80" i="2"/>
  <c r="J81" i="2" s="1"/>
  <c r="L81" i="2" s="1"/>
  <c r="G37" i="38"/>
  <c r="G118" i="38"/>
  <c r="G116" i="38"/>
  <c r="G99" i="38"/>
  <c r="G167" i="38"/>
  <c r="G149" i="2"/>
  <c r="J27" i="8"/>
  <c r="J31" i="8" s="1"/>
  <c r="G172" i="38"/>
  <c r="G140" i="38"/>
  <c r="G136" i="38"/>
  <c r="G53" i="38"/>
  <c r="G160" i="38"/>
  <c r="G159" i="38"/>
  <c r="A106" i="38"/>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G129" i="38"/>
  <c r="G70" i="38"/>
  <c r="G147" i="38"/>
  <c r="G48" i="38"/>
  <c r="G45" i="38"/>
  <c r="G105" i="38"/>
  <c r="G127" i="38"/>
  <c r="G139" i="38"/>
  <c r="G63" i="38"/>
  <c r="G123" i="38"/>
  <c r="G126" i="38"/>
  <c r="G114" i="38"/>
  <c r="C82" i="38"/>
  <c r="G26" i="5" s="1"/>
  <c r="G93" i="38"/>
  <c r="G137" i="38"/>
  <c r="G115" i="38"/>
  <c r="G103" i="38"/>
  <c r="G91" i="38"/>
  <c r="G104" i="38"/>
  <c r="G133" i="38"/>
  <c r="G117" i="38"/>
  <c r="G138" i="38"/>
  <c r="G150" i="38"/>
  <c r="G141" i="38"/>
  <c r="G109" i="38"/>
  <c r="G143" i="38"/>
  <c r="A53" i="38"/>
  <c r="A54" i="38" s="1"/>
  <c r="A55" i="38" s="1"/>
  <c r="A56" i="38" s="1"/>
  <c r="A57" i="38" s="1"/>
  <c r="A58" i="38" s="1"/>
  <c r="A59" i="38" s="1"/>
  <c r="A60" i="38" s="1"/>
  <c r="A61" i="38" s="1"/>
  <c r="A62" i="38" s="1"/>
  <c r="A63" i="38" s="1"/>
  <c r="A64" i="38" s="1"/>
  <c r="A65" i="38" s="1"/>
  <c r="A66" i="38" s="1"/>
  <c r="A67" i="38" s="1"/>
  <c r="A68" i="38" s="1"/>
  <c r="A69" i="38" s="1"/>
  <c r="A76" i="38" s="1"/>
  <c r="A77" i="38" s="1"/>
  <c r="A78" i="38" s="1"/>
  <c r="G98" i="38"/>
  <c r="G97" i="38"/>
  <c r="G96" i="38"/>
  <c r="G94" i="38"/>
  <c r="G31" i="38"/>
  <c r="G35" i="38"/>
  <c r="G32" i="38"/>
  <c r="G65" i="38"/>
  <c r="G54" i="38"/>
  <c r="G43" i="38"/>
  <c r="G55" i="38"/>
  <c r="G50" i="38"/>
  <c r="G34" i="38"/>
  <c r="G46" i="39"/>
  <c r="G20" i="39"/>
  <c r="G54" i="39"/>
  <c r="G56" i="39"/>
  <c r="G67" i="39"/>
  <c r="G43" i="39"/>
  <c r="A39" i="39"/>
  <c r="A40" i="39" s="1"/>
  <c r="A41" i="39" s="1"/>
  <c r="A42" i="39" s="1"/>
  <c r="A43"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G77" i="39"/>
  <c r="E42" i="5"/>
  <c r="G73" i="39"/>
  <c r="G27" i="39"/>
  <c r="D119" i="39"/>
  <c r="G61" i="39"/>
  <c r="G59" i="39"/>
  <c r="G42" i="39"/>
  <c r="G82" i="39"/>
  <c r="G119" i="39" s="1"/>
  <c r="G78" i="39"/>
  <c r="G68" i="39"/>
  <c r="G24" i="39"/>
  <c r="G37" i="39"/>
  <c r="F22" i="47"/>
  <c r="G101" i="39"/>
  <c r="G18" i="39"/>
  <c r="G21" i="39"/>
  <c r="G64" i="39"/>
  <c r="G103" i="39"/>
  <c r="G114" i="39"/>
  <c r="G106" i="39"/>
  <c r="G217" i="38"/>
  <c r="G219" i="38" s="1"/>
  <c r="C219" i="38"/>
  <c r="K219" i="38"/>
  <c r="G49" i="5"/>
  <c r="G51" i="5" s="1"/>
  <c r="G95" i="38"/>
  <c r="G144" i="38"/>
  <c r="G110" i="38"/>
  <c r="G171" i="38"/>
  <c r="G113" i="38"/>
  <c r="G184" i="38"/>
  <c r="G39" i="38"/>
  <c r="G59" i="38"/>
  <c r="G66" i="38"/>
  <c r="G23" i="41"/>
  <c r="G159" i="2"/>
  <c r="E76" i="41"/>
  <c r="E38" i="11"/>
  <c r="K38" i="11" s="1"/>
  <c r="K43" i="11" s="1"/>
  <c r="G185" i="2" s="1"/>
  <c r="E120" i="30"/>
  <c r="K47" i="48"/>
  <c r="G43" i="11"/>
  <c r="G183" i="2" s="1"/>
  <c r="M43" i="11"/>
  <c r="G184" i="2" s="1"/>
  <c r="L184" i="2" s="1"/>
  <c r="I43" i="11"/>
  <c r="G181" i="2" s="1"/>
  <c r="E25" i="30"/>
  <c r="E43" i="11"/>
  <c r="G76" i="39"/>
  <c r="G80" i="39"/>
  <c r="G74" i="39"/>
  <c r="G32" i="39"/>
  <c r="G29" i="39"/>
  <c r="G36" i="39"/>
  <c r="G45" i="39"/>
  <c r="G202" i="38"/>
  <c r="H42" i="41"/>
  <c r="G255" i="2" s="1"/>
  <c r="E22" i="20"/>
  <c r="L252" i="2"/>
  <c r="G257" i="2" s="1"/>
  <c r="F35" i="10"/>
  <c r="F339" i="2" s="1"/>
  <c r="G189" i="2" s="1"/>
  <c r="G193" i="2" s="1"/>
  <c r="G199" i="2" s="1"/>
  <c r="G191" i="38"/>
  <c r="G94" i="2"/>
  <c r="L90" i="2"/>
  <c r="L92" i="2"/>
  <c r="G91" i="2"/>
  <c r="G48" i="11" s="1"/>
  <c r="G51" i="11" s="1"/>
  <c r="L226" i="2"/>
  <c r="K51" i="11"/>
  <c r="K53" i="11" s="1"/>
  <c r="K55" i="11" s="1"/>
  <c r="K62" i="11"/>
  <c r="K64" i="11" s="1"/>
  <c r="K66" i="11" s="1"/>
  <c r="K68" i="11" s="1"/>
  <c r="K69" i="11" s="1"/>
  <c r="G90" i="2"/>
  <c r="E48" i="11" s="1"/>
  <c r="I219" i="38"/>
  <c r="I52" i="5"/>
  <c r="L103" i="2" s="1"/>
  <c r="J219" i="38"/>
  <c r="I34" i="5"/>
  <c r="G30" i="38"/>
  <c r="G148" i="38"/>
  <c r="G40" i="38"/>
  <c r="G135" i="38"/>
  <c r="G86" i="38"/>
  <c r="G46" i="38"/>
  <c r="D82" i="38"/>
  <c r="E26" i="5" s="1"/>
  <c r="G88" i="38"/>
  <c r="J199" i="38"/>
  <c r="J205" i="38" s="1"/>
  <c r="G111" i="38"/>
  <c r="G72" i="38"/>
  <c r="I82" i="38"/>
  <c r="G145" i="38"/>
  <c r="G130" i="38"/>
  <c r="K82" i="38"/>
  <c r="G69" i="38"/>
  <c r="G146" i="38"/>
  <c r="G131" i="38"/>
  <c r="G102" i="38"/>
  <c r="G89" i="38"/>
  <c r="G90" i="38"/>
  <c r="G112" i="38"/>
  <c r="G124" i="38"/>
  <c r="G100" i="38"/>
  <c r="G186" i="38"/>
  <c r="G185" i="38"/>
  <c r="G183" i="38"/>
  <c r="G166" i="38"/>
  <c r="G142" i="38"/>
  <c r="G122" i="38"/>
  <c r="G120" i="38"/>
  <c r="K199" i="38"/>
  <c r="K205" i="38" s="1"/>
  <c r="D199" i="38"/>
  <c r="D205" i="38" s="1"/>
  <c r="G58" i="38"/>
  <c r="G51" i="38"/>
  <c r="G42" i="38"/>
  <c r="G62" i="38"/>
  <c r="G47" i="38"/>
  <c r="G33" i="38"/>
  <c r="G52" i="38"/>
  <c r="I81" i="38"/>
  <c r="G38" i="38"/>
  <c r="J81" i="38"/>
  <c r="J82" i="38"/>
  <c r="G56" i="38"/>
  <c r="G49" i="38"/>
  <c r="G44" i="38"/>
  <c r="G41" i="38"/>
  <c r="D81" i="38"/>
  <c r="G28" i="38"/>
  <c r="K81" i="38"/>
  <c r="C23" i="38"/>
  <c r="C199" i="38"/>
  <c r="C205" i="38" s="1"/>
  <c r="G87" i="38"/>
  <c r="G182" i="38"/>
  <c r="G125" i="38"/>
  <c r="C81" i="38"/>
  <c r="G68" i="38"/>
  <c r="G17" i="38"/>
  <c r="G23" i="38" s="1"/>
  <c r="G81" i="39"/>
  <c r="G93" i="39"/>
  <c r="G86" i="39"/>
  <c r="I119" i="39"/>
  <c r="G52" i="39"/>
  <c r="G50" i="39"/>
  <c r="G48" i="39"/>
  <c r="G38" i="39"/>
  <c r="G89" i="39"/>
  <c r="G19" i="39"/>
  <c r="G63" i="39"/>
  <c r="G35" i="39"/>
  <c r="G69" i="39"/>
  <c r="G92" i="39"/>
  <c r="G94" i="39"/>
  <c r="G66" i="39"/>
  <c r="G39" i="39"/>
  <c r="G31" i="39"/>
  <c r="I118" i="39"/>
  <c r="G85" i="39"/>
  <c r="G62" i="39"/>
  <c r="K118" i="39"/>
  <c r="G25" i="39"/>
  <c r="G28" i="39"/>
  <c r="G65" i="39"/>
  <c r="G71" i="39"/>
  <c r="G75" i="39"/>
  <c r="G88" i="39"/>
  <c r="I42" i="5"/>
  <c r="G53" i="39"/>
  <c r="G44" i="39"/>
  <c r="J118" i="39"/>
  <c r="G17" i="39"/>
  <c r="D118" i="39"/>
  <c r="G105" i="39"/>
  <c r="G107" i="39"/>
  <c r="G30" i="39"/>
  <c r="G22" i="39"/>
  <c r="J119" i="39"/>
  <c r="C118" i="39"/>
  <c r="G51" i="39"/>
  <c r="G26" i="39"/>
  <c r="G55" i="39"/>
  <c r="G104" i="39"/>
  <c r="O1036" i="13"/>
  <c r="P1271" i="13"/>
  <c r="P1273" i="13"/>
  <c r="P1233" i="13"/>
  <c r="P1227" i="13"/>
  <c r="P1241" i="13"/>
  <c r="P1230" i="13"/>
  <c r="P1232" i="13"/>
  <c r="P1254" i="13"/>
  <c r="P1262" i="13"/>
  <c r="P1266" i="13"/>
  <c r="P1268" i="13"/>
  <c r="P1272" i="13"/>
  <c r="P1276" i="13"/>
  <c r="P1021" i="13"/>
  <c r="P1167" i="13"/>
  <c r="P1173" i="13"/>
  <c r="P1275" i="13"/>
  <c r="A67" i="6"/>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D31" i="6"/>
  <c r="P1265" i="13"/>
  <c r="E61" i="6"/>
  <c r="E29" i="6" s="1"/>
  <c r="E31" i="6" s="1"/>
  <c r="G120" i="2" s="1"/>
  <c r="L120" i="2" s="1"/>
  <c r="P475" i="13"/>
  <c r="P493" i="13"/>
  <c r="P537" i="13"/>
  <c r="P547" i="13"/>
  <c r="P551" i="13"/>
  <c r="P553" i="13"/>
  <c r="P563" i="13"/>
  <c r="P713" i="13"/>
  <c r="P745" i="13"/>
  <c r="P834" i="13"/>
  <c r="P1086" i="13"/>
  <c r="P1148" i="13"/>
  <c r="P1190" i="13"/>
  <c r="P559" i="13"/>
  <c r="P585" i="13"/>
  <c r="P731" i="13"/>
  <c r="P1056" i="13"/>
  <c r="P1055" i="13"/>
  <c r="P1105" i="13"/>
  <c r="P1155" i="13"/>
  <c r="P1159" i="13"/>
  <c r="P1161" i="13"/>
  <c r="P1243" i="13"/>
  <c r="P1251" i="13"/>
  <c r="P485" i="13"/>
  <c r="P565" i="13"/>
  <c r="P719" i="13"/>
  <c r="P737" i="13"/>
  <c r="P757" i="13"/>
  <c r="P822" i="13"/>
  <c r="P844" i="13"/>
  <c r="P848" i="13"/>
  <c r="P988" i="13"/>
  <c r="P1092" i="13"/>
  <c r="P1094" i="13"/>
  <c r="P1096" i="13"/>
  <c r="P1102" i="13"/>
  <c r="P1106" i="13"/>
  <c r="P1140" i="13"/>
  <c r="P1182" i="13"/>
  <c r="P1184" i="13"/>
  <c r="P1192" i="13"/>
  <c r="P205" i="13"/>
  <c r="P209" i="13"/>
  <c r="P213" i="13"/>
  <c r="P217" i="13"/>
  <c r="P219" i="13"/>
  <c r="P229" i="13"/>
  <c r="P237" i="13"/>
  <c r="P299" i="13"/>
  <c r="P305" i="13"/>
  <c r="P373" i="13"/>
  <c r="P377" i="13"/>
  <c r="P381" i="13"/>
  <c r="P383" i="13"/>
  <c r="P385" i="13"/>
  <c r="P625" i="13"/>
  <c r="P627" i="13"/>
  <c r="P637" i="13"/>
  <c r="P639" i="13"/>
  <c r="P641" i="13"/>
  <c r="P643" i="13"/>
  <c r="P655" i="13"/>
  <c r="P665" i="13"/>
  <c r="P667" i="13"/>
  <c r="P671" i="13"/>
  <c r="P809" i="13"/>
  <c r="P811" i="13"/>
  <c r="P896" i="13"/>
  <c r="P914" i="13"/>
  <c r="P924" i="13"/>
  <c r="P926" i="13"/>
  <c r="P928" i="13"/>
  <c r="P930" i="13"/>
  <c r="P932" i="13"/>
  <c r="P981" i="13"/>
  <c r="P997" i="13"/>
  <c r="P1001" i="13"/>
  <c r="P1003" i="13"/>
  <c r="P1005" i="13"/>
  <c r="P1011" i="13"/>
  <c r="P1017" i="13"/>
  <c r="P1057" i="13"/>
  <c r="P1059" i="13"/>
  <c r="P1061" i="13"/>
  <c r="P1063" i="13"/>
  <c r="P1065" i="13"/>
  <c r="P1067" i="13"/>
  <c r="P1071" i="13"/>
  <c r="P1083" i="13"/>
  <c r="P1085" i="13"/>
  <c r="P1101" i="13"/>
  <c r="P1151" i="13"/>
  <c r="K61" i="6"/>
  <c r="K29" i="6" s="1"/>
  <c r="K31" i="6" s="1"/>
  <c r="I31" i="6"/>
  <c r="G118" i="2" s="1"/>
  <c r="P911" i="13"/>
  <c r="P481" i="13"/>
  <c r="P487" i="13"/>
  <c r="P503" i="13"/>
  <c r="P505" i="13"/>
  <c r="P541" i="13"/>
  <c r="P543" i="13"/>
  <c r="P557" i="13"/>
  <c r="P571" i="13"/>
  <c r="P587" i="13"/>
  <c r="P711" i="13"/>
  <c r="P715" i="13"/>
  <c r="P717" i="13"/>
  <c r="P733" i="13"/>
  <c r="P820" i="13"/>
  <c r="P828" i="13"/>
  <c r="P832" i="13"/>
  <c r="P836" i="13"/>
  <c r="P846" i="13"/>
  <c r="P974" i="13"/>
  <c r="P982" i="13"/>
  <c r="P990" i="13"/>
  <c r="P992" i="13"/>
  <c r="P994" i="13"/>
  <c r="P1004" i="13"/>
  <c r="P1082" i="13"/>
  <c r="P1090" i="13"/>
  <c r="P1098" i="13"/>
  <c r="P1144" i="13"/>
  <c r="P1160" i="13"/>
  <c r="P1164" i="13"/>
  <c r="P1168" i="13"/>
  <c r="P1170" i="13"/>
  <c r="P1176" i="13"/>
  <c r="P1186" i="13"/>
  <c r="P1188" i="13"/>
  <c r="P1225" i="13"/>
  <c r="P1237" i="13"/>
  <c r="P1247" i="13"/>
  <c r="P1259" i="13"/>
  <c r="P222" i="13"/>
  <c r="P296" i="13"/>
  <c r="P306" i="13"/>
  <c r="P308" i="13"/>
  <c r="P312" i="13"/>
  <c r="P314" i="13"/>
  <c r="P316" i="13"/>
  <c r="P320" i="13"/>
  <c r="P322" i="13"/>
  <c r="P324" i="13"/>
  <c r="P328" i="13"/>
  <c r="P330" i="13"/>
  <c r="P370" i="13"/>
  <c r="P372" i="13"/>
  <c r="P390" i="13"/>
  <c r="P394" i="13"/>
  <c r="P402" i="13"/>
  <c r="P404" i="13"/>
  <c r="P406" i="13"/>
  <c r="P408" i="13"/>
  <c r="P410" i="13"/>
  <c r="P414" i="13"/>
  <c r="P416" i="13"/>
  <c r="P418" i="13"/>
  <c r="P628" i="13"/>
  <c r="P630" i="13"/>
  <c r="P632" i="13"/>
  <c r="P660" i="13"/>
  <c r="P666" i="13"/>
  <c r="P672" i="13"/>
  <c r="P674" i="13"/>
  <c r="P883" i="13"/>
  <c r="P885" i="13"/>
  <c r="P887" i="13"/>
  <c r="P913" i="13"/>
  <c r="P915" i="13"/>
  <c r="P917" i="13"/>
  <c r="P919" i="13"/>
  <c r="P923" i="13"/>
  <c r="P455" i="13"/>
  <c r="P457" i="13"/>
  <c r="P463" i="13"/>
  <c r="P549" i="13"/>
  <c r="P1279" i="13"/>
  <c r="P586" i="13"/>
  <c r="O864" i="13"/>
  <c r="P147" i="13"/>
  <c r="P145" i="13"/>
  <c r="P125" i="13"/>
  <c r="P117" i="13"/>
  <c r="P115" i="13"/>
  <c r="P1172" i="13"/>
  <c r="P160" i="13"/>
  <c r="P158" i="13"/>
  <c r="P150" i="13"/>
  <c r="P144" i="13"/>
  <c r="P142" i="13"/>
  <c r="P140" i="13"/>
  <c r="P138" i="13"/>
  <c r="P134" i="13"/>
  <c r="P126" i="13"/>
  <c r="P102" i="13"/>
  <c r="G26" i="48"/>
  <c r="C28" i="48"/>
  <c r="D24" i="48" s="1"/>
  <c r="E24" i="48" s="1"/>
  <c r="H24" i="48" s="1"/>
  <c r="G27" i="48"/>
  <c r="G23" i="48"/>
  <c r="P468" i="13"/>
  <c r="G25" i="48"/>
  <c r="P474" i="13"/>
  <c r="P555" i="13"/>
  <c r="P567" i="13"/>
  <c r="P569" i="13"/>
  <c r="P577" i="13"/>
  <c r="P579" i="13"/>
  <c r="P581" i="13"/>
  <c r="P761" i="13"/>
  <c r="P814" i="13"/>
  <c r="P824" i="13"/>
  <c r="P826" i="13"/>
  <c r="P452" i="13"/>
  <c r="P454" i="13"/>
  <c r="P456" i="13"/>
  <c r="P458" i="13"/>
  <c r="P460" i="13"/>
  <c r="P464" i="13"/>
  <c r="P470" i="13"/>
  <c r="P472" i="13"/>
  <c r="P476" i="13"/>
  <c r="P478" i="13"/>
  <c r="P480" i="13"/>
  <c r="P482" i="13"/>
  <c r="P484" i="13"/>
  <c r="P492" i="13"/>
  <c r="P496" i="13"/>
  <c r="P498" i="13"/>
  <c r="P500" i="13"/>
  <c r="P502" i="13"/>
  <c r="P538" i="13"/>
  <c r="P540" i="13"/>
  <c r="P542" i="13"/>
  <c r="P544" i="13"/>
  <c r="P546" i="13"/>
  <c r="P752" i="13"/>
  <c r="P756" i="13"/>
  <c r="P762" i="13"/>
  <c r="P801" i="13"/>
  <c r="P803" i="13"/>
  <c r="P805" i="13"/>
  <c r="P807" i="13"/>
  <c r="P813" i="13"/>
  <c r="P817" i="13"/>
  <c r="P819" i="13"/>
  <c r="P821" i="13"/>
  <c r="P823" i="13"/>
  <c r="P825" i="13"/>
  <c r="P829" i="13"/>
  <c r="P490" i="13"/>
  <c r="P927" i="13"/>
  <c r="P931" i="13"/>
  <c r="P933" i="13"/>
  <c r="P935" i="13"/>
  <c r="P198" i="13"/>
  <c r="P488" i="13"/>
  <c r="P1221" i="13"/>
  <c r="O778" i="13"/>
  <c r="O1122" i="13"/>
  <c r="P159" i="13"/>
  <c r="P153" i="13"/>
  <c r="P151" i="13"/>
  <c r="P143" i="13"/>
  <c r="P139" i="13"/>
  <c r="P137" i="13"/>
  <c r="P135" i="13"/>
  <c r="P133" i="13"/>
  <c r="P131" i="13"/>
  <c r="P129" i="13"/>
  <c r="P123" i="13"/>
  <c r="P119" i="13"/>
  <c r="P211" i="13"/>
  <c r="P367" i="13"/>
  <c r="P371" i="13"/>
  <c r="P419" i="13"/>
  <c r="P453" i="13"/>
  <c r="P633" i="13"/>
  <c r="O1209" i="13"/>
  <c r="P188" i="13"/>
  <c r="P202" i="13"/>
  <c r="P204" i="13"/>
  <c r="P206" i="13"/>
  <c r="P220" i="13"/>
  <c r="P224" i="13"/>
  <c r="P226" i="13"/>
  <c r="P230" i="13"/>
  <c r="P232" i="13"/>
  <c r="P234" i="13"/>
  <c r="P238" i="13"/>
  <c r="P240" i="13"/>
  <c r="P246" i="13"/>
  <c r="P282" i="13"/>
  <c r="P284" i="13"/>
  <c r="P286" i="13"/>
  <c r="P288" i="13"/>
  <c r="P290" i="13"/>
  <c r="P292" i="13"/>
  <c r="P624" i="13"/>
  <c r="P842" i="13"/>
  <c r="P891" i="13"/>
  <c r="P893" i="13"/>
  <c r="P995" i="13"/>
  <c r="P1019" i="13"/>
  <c r="P1069" i="13"/>
  <c r="P1073" i="13"/>
  <c r="P1077" i="13"/>
  <c r="P1079" i="13"/>
  <c r="P1081" i="13"/>
  <c r="P1153" i="13"/>
  <c r="P1171" i="13"/>
  <c r="P1175" i="13"/>
  <c r="P1177" i="13"/>
  <c r="P1179" i="13"/>
  <c r="P1181" i="13"/>
  <c r="P1183" i="13"/>
  <c r="P1185" i="13"/>
  <c r="P1187" i="13"/>
  <c r="P1191" i="13"/>
  <c r="P1248" i="13"/>
  <c r="P1252" i="13"/>
  <c r="P1256" i="13"/>
  <c r="P1258" i="13"/>
  <c r="P1048" i="13"/>
  <c r="O434" i="13"/>
  <c r="P588" i="13"/>
  <c r="P831" i="13"/>
  <c r="P835" i="13"/>
  <c r="P882" i="13"/>
  <c r="P886" i="13"/>
  <c r="P888" i="13"/>
  <c r="P890" i="13"/>
  <c r="P892" i="13"/>
  <c r="P894" i="13"/>
  <c r="P898" i="13"/>
  <c r="P902" i="13"/>
  <c r="P904" i="13"/>
  <c r="P906" i="13"/>
  <c r="P918" i="13"/>
  <c r="P920" i="13"/>
  <c r="P984" i="13"/>
  <c r="P1076" i="13"/>
  <c r="P1078" i="13"/>
  <c r="P1080" i="13"/>
  <c r="P1084" i="13"/>
  <c r="P1142" i="13"/>
  <c r="P1146" i="13"/>
  <c r="P1150" i="13"/>
  <c r="P1156" i="13"/>
  <c r="P1162" i="13"/>
  <c r="P1229" i="13"/>
  <c r="P1245" i="13"/>
  <c r="P1249" i="13"/>
  <c r="P1253" i="13"/>
  <c r="P1263" i="13"/>
  <c r="O950" i="13"/>
  <c r="P583" i="13"/>
  <c r="P753" i="13"/>
  <c r="P881" i="13"/>
  <c r="P895" i="13"/>
  <c r="P962" i="13"/>
  <c r="P972" i="13"/>
  <c r="P548" i="13"/>
  <c r="P710" i="13"/>
  <c r="P712" i="13"/>
  <c r="P714" i="13"/>
  <c r="P718" i="13"/>
  <c r="P720" i="13"/>
  <c r="P722" i="13"/>
  <c r="P724" i="13"/>
  <c r="P726" i="13"/>
  <c r="P728" i="13"/>
  <c r="P732" i="13"/>
  <c r="P734" i="13"/>
  <c r="P736" i="13"/>
  <c r="P742" i="13"/>
  <c r="P744" i="13"/>
  <c r="P746" i="13"/>
  <c r="P748" i="13"/>
  <c r="P827" i="13"/>
  <c r="P922" i="13"/>
  <c r="P1255" i="13"/>
  <c r="P154" i="13"/>
  <c r="P152" i="13"/>
  <c r="P124" i="13"/>
  <c r="P120" i="13"/>
  <c r="P983" i="13"/>
  <c r="P201" i="13"/>
  <c r="P203" i="13"/>
  <c r="P207" i="13"/>
  <c r="P223" i="13"/>
  <c r="P225" i="13"/>
  <c r="P227" i="13"/>
  <c r="P231" i="13"/>
  <c r="P233" i="13"/>
  <c r="P235" i="13"/>
  <c r="P241" i="13"/>
  <c r="P243" i="13"/>
  <c r="P245" i="13"/>
  <c r="P247" i="13"/>
  <c r="P283" i="13"/>
  <c r="P285" i="13"/>
  <c r="P287" i="13"/>
  <c r="P289" i="13"/>
  <c r="P291" i="13"/>
  <c r="P293" i="13"/>
  <c r="P161" i="13"/>
  <c r="P210" i="13"/>
  <c r="P214" i="13"/>
  <c r="P218" i="13"/>
  <c r="P244" i="13"/>
  <c r="P1014" i="13"/>
  <c r="P294" i="13"/>
  <c r="P298" i="13"/>
  <c r="P300" i="13"/>
  <c r="P302" i="13"/>
  <c r="P304" i="13"/>
  <c r="P318" i="13"/>
  <c r="P326" i="13"/>
  <c r="P374" i="13"/>
  <c r="P380" i="13"/>
  <c r="P382" i="13"/>
  <c r="P384" i="13"/>
  <c r="P388" i="13"/>
  <c r="P467" i="13"/>
  <c r="P479" i="13"/>
  <c r="P483" i="13"/>
  <c r="P491" i="13"/>
  <c r="P499" i="13"/>
  <c r="P539" i="13"/>
  <c r="P590" i="13"/>
  <c r="P635" i="13"/>
  <c r="P647" i="13"/>
  <c r="P649" i="13"/>
  <c r="P651" i="13"/>
  <c r="P653" i="13"/>
  <c r="P657" i="13"/>
  <c r="P659" i="13"/>
  <c r="P663" i="13"/>
  <c r="P675" i="13"/>
  <c r="P677" i="13"/>
  <c r="P750" i="13"/>
  <c r="P760" i="13"/>
  <c r="P838" i="13"/>
  <c r="P901" i="13"/>
  <c r="P903" i="13"/>
  <c r="P909" i="13"/>
  <c r="P969" i="13"/>
  <c r="P971" i="13"/>
  <c r="P975" i="13"/>
  <c r="P979" i="13"/>
  <c r="P985" i="13"/>
  <c r="P989" i="13"/>
  <c r="P991" i="13"/>
  <c r="P993" i="13"/>
  <c r="P996" i="13"/>
  <c r="P998" i="13"/>
  <c r="P1002" i="13"/>
  <c r="P1006" i="13"/>
  <c r="P1012" i="13"/>
  <c r="P1016" i="13"/>
  <c r="P1020" i="13"/>
  <c r="P1052" i="13"/>
  <c r="P1060" i="13"/>
  <c r="P1062" i="13"/>
  <c r="P1064" i="13"/>
  <c r="P1068" i="13"/>
  <c r="P1070" i="13"/>
  <c r="P1100" i="13"/>
  <c r="P1264" i="13"/>
  <c r="P295" i="13"/>
  <c r="P297" i="13"/>
  <c r="P301" i="13"/>
  <c r="P303" i="13"/>
  <c r="P309" i="13"/>
  <c r="P311" i="13"/>
  <c r="P313" i="13"/>
  <c r="P315" i="13"/>
  <c r="P321" i="13"/>
  <c r="P325" i="13"/>
  <c r="P333" i="13"/>
  <c r="P375" i="13"/>
  <c r="P379" i="13"/>
  <c r="P387" i="13"/>
  <c r="P389" i="13"/>
  <c r="P393" i="13"/>
  <c r="P395" i="13"/>
  <c r="P397" i="13"/>
  <c r="P399" i="13"/>
  <c r="P401" i="13"/>
  <c r="P403" i="13"/>
  <c r="P405" i="13"/>
  <c r="P407" i="13"/>
  <c r="P409" i="13"/>
  <c r="P411" i="13"/>
  <c r="P413" i="13"/>
  <c r="P415" i="13"/>
  <c r="P550" i="13"/>
  <c r="P552" i="13"/>
  <c r="P554" i="13"/>
  <c r="P556" i="13"/>
  <c r="P558" i="13"/>
  <c r="P560" i="13"/>
  <c r="P566" i="13"/>
  <c r="P570" i="13"/>
  <c r="P572" i="13"/>
  <c r="P574" i="13"/>
  <c r="P576" i="13"/>
  <c r="P578" i="13"/>
  <c r="P580" i="13"/>
  <c r="P582" i="13"/>
  <c r="P584" i="13"/>
  <c r="P589" i="13"/>
  <c r="P591" i="13"/>
  <c r="P623" i="13"/>
  <c r="P634" i="13"/>
  <c r="P636" i="13"/>
  <c r="P638" i="13"/>
  <c r="P648" i="13"/>
  <c r="P652" i="13"/>
  <c r="P656" i="13"/>
  <c r="P658" i="13"/>
  <c r="P723" i="13"/>
  <c r="P749" i="13"/>
  <c r="P751" i="13"/>
  <c r="P802" i="13"/>
  <c r="P804" i="13"/>
  <c r="P810" i="13"/>
  <c r="P976" i="13"/>
  <c r="P1007" i="13"/>
  <c r="P1009" i="13"/>
  <c r="P1087" i="13"/>
  <c r="P1091" i="13"/>
  <c r="P1097" i="13"/>
  <c r="P1099" i="13"/>
  <c r="P1137" i="13"/>
  <c r="P1139" i="13"/>
  <c r="P1141" i="13"/>
  <c r="P1145" i="13"/>
  <c r="P1147" i="13"/>
  <c r="P1149" i="13"/>
  <c r="P1163" i="13"/>
  <c r="P1226" i="13"/>
  <c r="P1228" i="13"/>
  <c r="P1234" i="13"/>
  <c r="P1236" i="13"/>
  <c r="P1238" i="13"/>
  <c r="P1242" i="13"/>
  <c r="P1267" i="13"/>
  <c r="O520" i="13"/>
  <c r="P212" i="13"/>
  <c r="P216" i="13"/>
  <c r="P465" i="13"/>
  <c r="P469" i="13"/>
  <c r="P471" i="13"/>
  <c r="P477" i="13"/>
  <c r="P629" i="13"/>
  <c r="P664" i="13"/>
  <c r="P668" i="13"/>
  <c r="P670" i="13"/>
  <c r="P806" i="13"/>
  <c r="P808" i="13"/>
  <c r="P812" i="13"/>
  <c r="P841" i="13"/>
  <c r="P843" i="13"/>
  <c r="P847" i="13"/>
  <c r="P849" i="13"/>
  <c r="P910" i="13"/>
  <c r="P916" i="13"/>
  <c r="P1018" i="13"/>
  <c r="P1089" i="13"/>
  <c r="P1093" i="13"/>
  <c r="P1095" i="13"/>
  <c r="P1166" i="13"/>
  <c r="P1240" i="13"/>
  <c r="P1278" i="13"/>
  <c r="P281" i="13"/>
  <c r="P148" i="13"/>
  <c r="P132" i="13"/>
  <c r="P128" i="13"/>
  <c r="P332" i="13"/>
  <c r="P412" i="13"/>
  <c r="P462" i="13"/>
  <c r="P575" i="13"/>
  <c r="P735" i="13"/>
  <c r="P739" i="13"/>
  <c r="P741" i="13"/>
  <c r="P743" i="13"/>
  <c r="P747" i="13"/>
  <c r="P797" i="13"/>
  <c r="P799" i="13"/>
  <c r="P899" i="13"/>
  <c r="P907" i="13"/>
  <c r="P1013" i="13"/>
  <c r="P1157" i="13"/>
  <c r="P1277" i="13"/>
  <c r="P215" i="13"/>
  <c r="P323" i="13"/>
  <c r="P417" i="13"/>
  <c r="P504" i="13"/>
  <c r="P640" i="13"/>
  <c r="P644" i="13"/>
  <c r="P646" i="13"/>
  <c r="P662" i="13"/>
  <c r="P730" i="13"/>
  <c r="P738" i="13"/>
  <c r="P755" i="13"/>
  <c r="P929" i="13"/>
  <c r="P1000" i="13"/>
  <c r="P1075" i="13"/>
  <c r="P1158" i="13"/>
  <c r="P1222" i="13"/>
  <c r="P1235" i="13"/>
  <c r="P631" i="13"/>
  <c r="P800" i="13"/>
  <c r="P1058" i="13"/>
  <c r="P1103" i="13"/>
  <c r="P236" i="13"/>
  <c r="P396" i="13"/>
  <c r="P818" i="13"/>
  <c r="P626" i="13"/>
  <c r="P156" i="13"/>
  <c r="P149" i="13"/>
  <c r="P141" i="13"/>
  <c r="P118" i="13"/>
  <c r="P116" i="13"/>
  <c r="P199" i="13"/>
  <c r="P208" i="13"/>
  <c r="P368" i="13"/>
  <c r="P386" i="13"/>
  <c r="P391" i="13"/>
  <c r="P473" i="13"/>
  <c r="P661" i="13"/>
  <c r="P716" i="13"/>
  <c r="P754" i="13"/>
  <c r="P815" i="13"/>
  <c r="P830" i="13"/>
  <c r="P921" i="13"/>
  <c r="P925" i="13"/>
  <c r="P1054" i="13"/>
  <c r="P1074" i="13"/>
  <c r="P1239" i="13"/>
  <c r="P1244" i="13"/>
  <c r="P1269" i="13"/>
  <c r="P1280" i="13"/>
  <c r="P964" i="13"/>
  <c r="P157" i="13"/>
  <c r="P155" i="13"/>
  <c r="P200" i="13"/>
  <c r="P221" i="13"/>
  <c r="P242" i="13"/>
  <c r="P310" i="13"/>
  <c r="P319" i="13"/>
  <c r="P327" i="13"/>
  <c r="P329" i="13"/>
  <c r="P331" i="13"/>
  <c r="P378" i="13"/>
  <c r="P392" i="13"/>
  <c r="P489" i="13"/>
  <c r="P495" i="13"/>
  <c r="P497" i="13"/>
  <c r="P501" i="13"/>
  <c r="P562" i="13"/>
  <c r="P564" i="13"/>
  <c r="P568" i="13"/>
  <c r="P642" i="13"/>
  <c r="P758" i="13"/>
  <c r="P798" i="13"/>
  <c r="P816" i="13"/>
  <c r="P837" i="13"/>
  <c r="P839" i="13"/>
  <c r="P900" i="13"/>
  <c r="P978" i="13"/>
  <c r="P999" i="13"/>
  <c r="P1066" i="13"/>
  <c r="P1088" i="13"/>
  <c r="P1107" i="13"/>
  <c r="P1174" i="13"/>
  <c r="P1189" i="13"/>
  <c r="P1193" i="13"/>
  <c r="O692" i="13"/>
  <c r="P127" i="13"/>
  <c r="P122" i="13"/>
  <c r="P307" i="13"/>
  <c r="P400" i="13"/>
  <c r="P459" i="13"/>
  <c r="P461" i="13"/>
  <c r="P486" i="13"/>
  <c r="P545" i="13"/>
  <c r="P645" i="13"/>
  <c r="P650" i="13"/>
  <c r="P654" i="13"/>
  <c r="P669" i="13"/>
  <c r="P673" i="13"/>
  <c r="P721" i="13"/>
  <c r="P725" i="13"/>
  <c r="P727" i="13"/>
  <c r="P729" i="13"/>
  <c r="P740" i="13"/>
  <c r="P1152" i="13"/>
  <c r="P1154" i="13"/>
  <c r="P1169" i="13"/>
  <c r="P1180" i="13"/>
  <c r="P1250" i="13"/>
  <c r="P1270" i="13"/>
  <c r="P1274" i="13"/>
  <c r="G24" i="48"/>
  <c r="G113" i="2"/>
  <c r="L44" i="2"/>
  <c r="L48" i="2" s="1"/>
  <c r="J31" i="6"/>
  <c r="G117" i="2" s="1"/>
  <c r="F25" i="49"/>
  <c r="D33" i="2"/>
  <c r="E31" i="2"/>
  <c r="B31" i="2"/>
  <c r="B33" i="2" s="1"/>
  <c r="B34" i="2" s="1"/>
  <c r="O262" i="13"/>
  <c r="J174" i="2"/>
  <c r="L174" i="2" s="1"/>
  <c r="D34" i="5"/>
  <c r="A208" i="38"/>
  <c r="A210" i="38" s="1"/>
  <c r="A212" i="38" s="1"/>
  <c r="A214" i="38" s="1"/>
  <c r="A215" i="38" s="1"/>
  <c r="A216" i="38" s="1"/>
  <c r="A217" i="38" s="1"/>
  <c r="A218" i="38" s="1"/>
  <c r="A219" i="38" s="1"/>
  <c r="D52" i="5" s="1"/>
  <c r="F23" i="32"/>
  <c r="C218" i="13"/>
  <c r="C219" i="13" s="1"/>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N176" i="13"/>
  <c r="M176" i="13"/>
  <c r="E185" i="2"/>
  <c r="E184" i="2"/>
  <c r="A48" i="11"/>
  <c r="E181" i="2"/>
  <c r="A36" i="9"/>
  <c r="A37" i="9" s="1"/>
  <c r="A38" i="9" s="1"/>
  <c r="A39" i="9" s="1"/>
  <c r="A40" i="9" s="1"/>
  <c r="A41" i="9" s="1"/>
  <c r="E146" i="2"/>
  <c r="S27" i="21"/>
  <c r="O33" i="21"/>
  <c r="G209" i="2" s="1"/>
  <c r="N90" i="13"/>
  <c r="M90" i="13"/>
  <c r="P963" i="13"/>
  <c r="D22" i="49"/>
  <c r="D23" i="49" s="1"/>
  <c r="H21" i="49"/>
  <c r="C206" i="38"/>
  <c r="G119" i="38"/>
  <c r="G206" i="38" s="1"/>
  <c r="G41" i="39"/>
  <c r="G92" i="2"/>
  <c r="G75" i="2"/>
  <c r="O606" i="13"/>
  <c r="E20" i="2"/>
  <c r="E95" i="41"/>
  <c r="A18" i="5"/>
  <c r="A19" i="5" s="1"/>
  <c r="A20" i="5" s="1"/>
  <c r="A23" i="5" s="1"/>
  <c r="A25" i="5" s="1"/>
  <c r="A29" i="35"/>
  <c r="A30" i="35" s="1"/>
  <c r="A31" i="35" s="1"/>
  <c r="A32" i="35" s="1"/>
  <c r="A33" i="35" s="1"/>
  <c r="A34" i="35" s="1"/>
  <c r="A35" i="35" s="1"/>
  <c r="A36" i="35" s="1"/>
  <c r="A37" i="35" s="1"/>
  <c r="A38" i="35" s="1"/>
  <c r="A39" i="35" s="1"/>
  <c r="A40" i="35" s="1"/>
  <c r="A41" i="35" s="1"/>
  <c r="A42" i="35" s="1"/>
  <c r="E71" i="2"/>
  <c r="E69" i="2"/>
  <c r="E70" i="2"/>
  <c r="E73" i="2"/>
  <c r="E67" i="2"/>
  <c r="E94" i="41"/>
  <c r="C103" i="41"/>
  <c r="C105" i="41" s="1"/>
  <c r="E248" i="2"/>
  <c r="E249" i="2"/>
  <c r="A29" i="41"/>
  <c r="A30" i="41" s="1"/>
  <c r="A31" i="41" s="1"/>
  <c r="A32" i="41" s="1"/>
  <c r="A33" i="41" s="1"/>
  <c r="A34" i="41" s="1"/>
  <c r="A35" i="41" s="1"/>
  <c r="A36" i="41" s="1"/>
  <c r="A37" i="41" s="1"/>
  <c r="A38" i="41" s="1"/>
  <c r="A39" i="41" s="1"/>
  <c r="A40" i="41" s="1"/>
  <c r="A41" i="41" s="1"/>
  <c r="A42" i="41" s="1"/>
  <c r="E51" i="5"/>
  <c r="A28" i="48"/>
  <c r="A37" i="48" s="1"/>
  <c r="D22" i="32"/>
  <c r="D23" i="32" s="1"/>
  <c r="D24" i="32" s="1"/>
  <c r="D25" i="32" s="1"/>
  <c r="D26" i="32" s="1"/>
  <c r="D27" i="32" s="1"/>
  <c r="D28" i="32" s="1"/>
  <c r="D29" i="32" s="1"/>
  <c r="D30" i="32" s="1"/>
  <c r="D31" i="32" s="1"/>
  <c r="D32" i="32" s="1"/>
  <c r="H21" i="32"/>
  <c r="M348" i="13"/>
  <c r="O348" i="13" s="1"/>
  <c r="I199" i="38"/>
  <c r="I205" i="38" s="1"/>
  <c r="G121" i="38"/>
  <c r="G87" i="39"/>
  <c r="G40" i="39"/>
  <c r="E43" i="5"/>
  <c r="E41" i="5"/>
  <c r="C89" i="41"/>
  <c r="E89" i="41" s="1"/>
  <c r="E104" i="41" s="1"/>
  <c r="E88" i="41"/>
  <c r="E103" i="41" s="1"/>
  <c r="G128" i="38"/>
  <c r="G132" i="38"/>
  <c r="H239" i="2"/>
  <c r="P146" i="13"/>
  <c r="P136" i="13"/>
  <c r="P130" i="13"/>
  <c r="P121" i="13"/>
  <c r="D219" i="38"/>
  <c r="E71" i="9"/>
  <c r="G162" i="38"/>
  <c r="G35" i="5"/>
  <c r="G33" i="5"/>
  <c r="G43" i="5"/>
  <c r="G41" i="5"/>
  <c r="P369" i="13"/>
  <c r="P376" i="13"/>
  <c r="I206" i="38"/>
  <c r="C119" i="39"/>
  <c r="S17" i="21"/>
  <c r="E17" i="5"/>
  <c r="E19" i="5"/>
  <c r="G151" i="38"/>
  <c r="E25" i="5"/>
  <c r="E27" i="5"/>
  <c r="E61" i="9"/>
  <c r="G17" i="5"/>
  <c r="G19" i="5"/>
  <c r="G97" i="39"/>
  <c r="G25" i="5"/>
  <c r="E33" i="5"/>
  <c r="E35" i="5"/>
  <c r="P561" i="13"/>
  <c r="P573" i="13"/>
  <c r="G27" i="5"/>
  <c r="D206" i="38"/>
  <c r="K119" i="39"/>
  <c r="P239" i="13"/>
  <c r="P317" i="13"/>
  <c r="P228" i="13"/>
  <c r="P398" i="13"/>
  <c r="P466" i="13"/>
  <c r="P494" i="13"/>
  <c r="P884" i="13"/>
  <c r="P759" i="13"/>
  <c r="P912" i="13"/>
  <c r="P934" i="13"/>
  <c r="P973" i="13"/>
  <c r="P987" i="13"/>
  <c r="P1015" i="13"/>
  <c r="E81" i="38"/>
  <c r="P676" i="13"/>
  <c r="P763" i="13"/>
  <c r="P833" i="13"/>
  <c r="P840" i="13"/>
  <c r="P845" i="13"/>
  <c r="P889" i="13"/>
  <c r="P905" i="13"/>
  <c r="P1053" i="13"/>
  <c r="P1072" i="13"/>
  <c r="P1165" i="13"/>
  <c r="P1231" i="13"/>
  <c r="P1260" i="13"/>
  <c r="G71" i="38"/>
  <c r="P897" i="13"/>
  <c r="P970" i="13"/>
  <c r="P980" i="13"/>
  <c r="P1008" i="13"/>
  <c r="P1010" i="13"/>
  <c r="P1104" i="13"/>
  <c r="P1143" i="13"/>
  <c r="P1178" i="13"/>
  <c r="P1246" i="13"/>
  <c r="P1257" i="13"/>
  <c r="G98" i="39"/>
  <c r="P908" i="13"/>
  <c r="P977" i="13"/>
  <c r="P986" i="13"/>
  <c r="P1138" i="13"/>
  <c r="P1261" i="13"/>
  <c r="I26" i="5" l="1"/>
  <c r="G201" i="2"/>
  <c r="L201" i="2"/>
  <c r="F39" i="20" s="1"/>
  <c r="G200" i="2"/>
  <c r="L200" i="2"/>
  <c r="F38" i="20" s="1"/>
  <c r="A149" i="38"/>
  <c r="A150" i="38" s="1"/>
  <c r="A151" i="38" s="1"/>
  <c r="G82" i="38"/>
  <c r="I49" i="5"/>
  <c r="I51" i="5" s="1"/>
  <c r="G103" i="2" s="1"/>
  <c r="H22" i="47"/>
  <c r="K22" i="47" s="1"/>
  <c r="F23" i="47"/>
  <c r="G258" i="2"/>
  <c r="H256" i="2" s="1"/>
  <c r="G186" i="2"/>
  <c r="N21" i="13"/>
  <c r="O21" i="13"/>
  <c r="G62" i="11"/>
  <c r="G72" i="11" s="1"/>
  <c r="G74" i="11" s="1"/>
  <c r="G76" i="11" s="1"/>
  <c r="K72" i="11"/>
  <c r="K74" i="11" s="1"/>
  <c r="K76" i="11" s="1"/>
  <c r="K78" i="11" s="1"/>
  <c r="K79" i="11" s="1"/>
  <c r="K57" i="11"/>
  <c r="K58" i="11" s="1"/>
  <c r="L229" i="2"/>
  <c r="L68" i="2" s="1"/>
  <c r="E62" i="11"/>
  <c r="E64" i="11" s="1"/>
  <c r="E66" i="11" s="1"/>
  <c r="E51" i="11"/>
  <c r="E36" i="5"/>
  <c r="I19" i="5"/>
  <c r="E28" i="5"/>
  <c r="I27" i="5"/>
  <c r="S33" i="21"/>
  <c r="L209" i="2" s="1"/>
  <c r="D25" i="48"/>
  <c r="E25" i="48" s="1"/>
  <c r="H25" i="48" s="1"/>
  <c r="I25" i="48" s="1"/>
  <c r="D22" i="48"/>
  <c r="E22" i="48" s="1"/>
  <c r="G164" i="2" s="1"/>
  <c r="G165" i="2" s="1"/>
  <c r="G167" i="2" s="1"/>
  <c r="G169" i="2" s="1"/>
  <c r="D26" i="48"/>
  <c r="E26" i="48" s="1"/>
  <c r="H26" i="48" s="1"/>
  <c r="I26" i="48" s="1"/>
  <c r="I24" i="48"/>
  <c r="D23" i="48"/>
  <c r="E23" i="48" s="1"/>
  <c r="H23" i="48" s="1"/>
  <c r="I23" i="48" s="1"/>
  <c r="D27" i="48"/>
  <c r="E27" i="48" s="1"/>
  <c r="H27" i="48" s="1"/>
  <c r="I27" i="48" s="1"/>
  <c r="O176" i="13"/>
  <c r="I17" i="5"/>
  <c r="G20" i="5"/>
  <c r="G36" i="5"/>
  <c r="I33" i="5"/>
  <c r="E105" i="41"/>
  <c r="L246" i="2"/>
  <c r="A48" i="41"/>
  <c r="A49" i="41" s="1"/>
  <c r="D28" i="5"/>
  <c r="A26" i="5"/>
  <c r="A27" i="5" s="1"/>
  <c r="A28" i="5" s="1"/>
  <c r="A31" i="5" s="1"/>
  <c r="A33" i="5" s="1"/>
  <c r="A50" i="11"/>
  <c r="A51" i="11" s="1"/>
  <c r="F26" i="49"/>
  <c r="I25" i="5"/>
  <c r="G28" i="5"/>
  <c r="I35" i="5"/>
  <c r="G118" i="39"/>
  <c r="A39" i="48"/>
  <c r="A41" i="48" s="1"/>
  <c r="C104" i="41"/>
  <c r="H22" i="49"/>
  <c r="K22" i="49" s="1"/>
  <c r="D36" i="2"/>
  <c r="B36" i="2"/>
  <c r="B37" i="2" s="1"/>
  <c r="C70" i="20"/>
  <c r="C70" i="13"/>
  <c r="G121" i="2"/>
  <c r="G199" i="38"/>
  <c r="G205" i="38" s="1"/>
  <c r="E20" i="5"/>
  <c r="G44" i="5"/>
  <c r="I41" i="5"/>
  <c r="E82" i="2"/>
  <c r="E81" i="2"/>
  <c r="E79" i="2"/>
  <c r="E83" i="2"/>
  <c r="E84" i="2"/>
  <c r="E78" i="2"/>
  <c r="E80" i="2"/>
  <c r="A49" i="35"/>
  <c r="A50" i="35" s="1"/>
  <c r="A51" i="35" s="1"/>
  <c r="A52" i="35" s="1"/>
  <c r="A53" i="35" s="1"/>
  <c r="A54" i="35" s="1"/>
  <c r="A55" i="35" s="1"/>
  <c r="A56" i="35" s="1"/>
  <c r="A57" i="35" s="1"/>
  <c r="A58" i="35" s="1"/>
  <c r="A59" i="35" s="1"/>
  <c r="A60" i="35" s="1"/>
  <c r="A61" i="35" s="1"/>
  <c r="A62" i="35" s="1"/>
  <c r="E86" i="2"/>
  <c r="E85" i="2"/>
  <c r="I48" i="11"/>
  <c r="G95" i="2"/>
  <c r="K21" i="49"/>
  <c r="O90" i="13"/>
  <c r="A44" i="9"/>
  <c r="A45" i="9" s="1"/>
  <c r="A46" i="9" s="1"/>
  <c r="A47" i="9" s="1"/>
  <c r="A48" i="9" s="1"/>
  <c r="A49" i="9" s="1"/>
  <c r="A50" i="9" s="1"/>
  <c r="A51" i="9" s="1"/>
  <c r="A52" i="9" s="1"/>
  <c r="A53" i="9" s="1"/>
  <c r="A54" i="9" s="1"/>
  <c r="A55" i="9" s="1"/>
  <c r="A56" i="9" s="1"/>
  <c r="A57" i="9" s="1"/>
  <c r="A58" i="9" s="1"/>
  <c r="A59" i="9" s="1"/>
  <c r="A61" i="9" s="1"/>
  <c r="E161" i="2"/>
  <c r="H22" i="32"/>
  <c r="K22" i="32" s="1"/>
  <c r="G78" i="38"/>
  <c r="G81" i="38" s="1"/>
  <c r="I43" i="5"/>
  <c r="E44" i="5"/>
  <c r="K21" i="32"/>
  <c r="D20" i="5"/>
  <c r="D24" i="49"/>
  <c r="H23" i="49"/>
  <c r="K23" i="49" s="1"/>
  <c r="H23" i="32"/>
  <c r="K23" i="32" s="1"/>
  <c r="F24" i="32"/>
  <c r="F59" i="13"/>
  <c r="G76" i="20"/>
  <c r="G59" i="20"/>
  <c r="H76" i="13"/>
  <c r="G53" i="11"/>
  <c r="G64" i="11" l="1"/>
  <c r="H255" i="2"/>
  <c r="D21" i="13" s="1"/>
  <c r="A160" i="38"/>
  <c r="A161" i="38" s="1"/>
  <c r="A162" i="38" s="1"/>
  <c r="A163" i="38" s="1"/>
  <c r="A164" i="38" s="1"/>
  <c r="A165" i="38" s="1"/>
  <c r="A166" i="38" s="1"/>
  <c r="A167" i="38" s="1"/>
  <c r="A168" i="38" s="1"/>
  <c r="A169" i="38" s="1"/>
  <c r="A170" i="38" s="1"/>
  <c r="A171" i="38" s="1"/>
  <c r="A172" i="38" s="1"/>
  <c r="A173" i="38" s="1"/>
  <c r="A174" i="38" s="1"/>
  <c r="A175" i="38" s="1"/>
  <c r="A176" i="38" s="1"/>
  <c r="A177" i="38" s="1"/>
  <c r="A178" i="38" s="1"/>
  <c r="A179" i="38" s="1"/>
  <c r="A180" i="38" s="1"/>
  <c r="A181" i="38" s="1"/>
  <c r="A182" i="38" s="1"/>
  <c r="A183" i="38" s="1"/>
  <c r="A184" i="38" s="1"/>
  <c r="A185" i="38" s="1"/>
  <c r="A152" i="38"/>
  <c r="A153" i="38" s="1"/>
  <c r="A154" i="38" s="1"/>
  <c r="A155" i="38" s="1"/>
  <c r="A156" i="38" s="1"/>
  <c r="A157" i="38" s="1"/>
  <c r="A158" i="38" s="1"/>
  <c r="A159" i="38" s="1"/>
  <c r="E39" i="13"/>
  <c r="E38" i="13"/>
  <c r="H23" i="47"/>
  <c r="K23" i="47" s="1"/>
  <c r="F24" i="47"/>
  <c r="D22" i="13"/>
  <c r="F22" i="13" s="1"/>
  <c r="D22" i="20"/>
  <c r="F22" i="20" s="1"/>
  <c r="I256" i="2"/>
  <c r="L256" i="2" s="1"/>
  <c r="E77" i="41"/>
  <c r="E79" i="41" s="1"/>
  <c r="E80" i="41" s="1"/>
  <c r="E51" i="41" s="1"/>
  <c r="E56" i="41" s="1"/>
  <c r="H257" i="2"/>
  <c r="D21" i="20"/>
  <c r="K82" i="11"/>
  <c r="E53" i="11"/>
  <c r="E55" i="11" s="1"/>
  <c r="E72" i="11"/>
  <c r="G75" i="20"/>
  <c r="G77" i="20" s="1"/>
  <c r="G78" i="20" s="1"/>
  <c r="G79" i="20" s="1"/>
  <c r="J76" i="2"/>
  <c r="H75" i="13"/>
  <c r="H77" i="13" s="1"/>
  <c r="H78" i="13" s="1"/>
  <c r="H79" i="13" s="1"/>
  <c r="D1044" i="13" s="1"/>
  <c r="J1045" i="13" s="1"/>
  <c r="E1048" i="13" s="1"/>
  <c r="L231" i="2"/>
  <c r="P21" i="13"/>
  <c r="G55" i="11"/>
  <c r="A43" i="48"/>
  <c r="E154" i="2"/>
  <c r="D25" i="49"/>
  <c r="H24" i="49"/>
  <c r="K24" i="49" s="1"/>
  <c r="E153" i="2"/>
  <c r="G100" i="2"/>
  <c r="I28" i="5"/>
  <c r="L100" i="2" s="1"/>
  <c r="F27" i="49"/>
  <c r="I36" i="5"/>
  <c r="L101" i="2" s="1"/>
  <c r="G101" i="2"/>
  <c r="G99" i="2"/>
  <c r="I20" i="5"/>
  <c r="L99" i="2" s="1"/>
  <c r="I51" i="11"/>
  <c r="I62" i="11"/>
  <c r="M48" i="11"/>
  <c r="F25" i="32"/>
  <c r="H24" i="32"/>
  <c r="K24" i="32" s="1"/>
  <c r="E162" i="2"/>
  <c r="A64" i="9"/>
  <c r="A65" i="9" s="1"/>
  <c r="A66" i="9" s="1"/>
  <c r="A71" i="9" s="1"/>
  <c r="E163" i="2" s="1"/>
  <c r="B39" i="2"/>
  <c r="B42" i="2" s="1"/>
  <c r="B44" i="2" s="1"/>
  <c r="B24" i="2"/>
  <c r="G66" i="11"/>
  <c r="C51" i="11"/>
  <c r="A50" i="41"/>
  <c r="A51" i="41" s="1"/>
  <c r="A52" i="41" s="1"/>
  <c r="A53" i="41" s="1"/>
  <c r="A54" i="41" s="1"/>
  <c r="A55" i="41" s="1"/>
  <c r="A56" i="41" s="1"/>
  <c r="D227" i="2"/>
  <c r="D228" i="2"/>
  <c r="I44" i="5"/>
  <c r="L102" i="2" s="1"/>
  <c r="G102" i="2"/>
  <c r="B43" i="48"/>
  <c r="C53" i="11"/>
  <c r="A52" i="11"/>
  <c r="A53" i="11" s="1"/>
  <c r="A34" i="5"/>
  <c r="A35" i="5" s="1"/>
  <c r="A36" i="5" s="1"/>
  <c r="A39" i="5" s="1"/>
  <c r="A41" i="5" s="1"/>
  <c r="D36" i="5"/>
  <c r="A186" i="38" l="1"/>
  <c r="A187" i="38" s="1"/>
  <c r="A188" i="38" s="1"/>
  <c r="A189" i="38" s="1"/>
  <c r="A190" i="38" s="1"/>
  <c r="A191" i="38" s="1"/>
  <c r="A192" i="38" s="1"/>
  <c r="A193" i="38" s="1"/>
  <c r="A194" i="38" s="1"/>
  <c r="A195" i="38" s="1"/>
  <c r="D872" i="13"/>
  <c r="J873" i="13" s="1"/>
  <c r="E876" i="13" s="1"/>
  <c r="F876" i="13" s="1"/>
  <c r="D1304" i="13"/>
  <c r="J1305" i="13" s="1"/>
  <c r="E1308" i="13" s="1"/>
  <c r="F1308" i="13" s="1"/>
  <c r="F25" i="47"/>
  <c r="H24" i="47"/>
  <c r="K24" i="47" s="1"/>
  <c r="I257" i="2"/>
  <c r="L257" i="2" s="1"/>
  <c r="D23" i="13"/>
  <c r="F23" i="13" s="1"/>
  <c r="D23" i="20"/>
  <c r="F23" i="20" s="1"/>
  <c r="E58" i="41"/>
  <c r="J255" i="2" s="1"/>
  <c r="L245" i="2"/>
  <c r="I255" i="2"/>
  <c r="D989" i="20"/>
  <c r="I990" i="20" s="1"/>
  <c r="E993" i="20" s="1"/>
  <c r="F993" i="20" s="1"/>
  <c r="D994" i="20" s="1"/>
  <c r="D455" i="20"/>
  <c r="I456" i="20" s="1"/>
  <c r="E459" i="20" s="1"/>
  <c r="F459" i="20" s="1"/>
  <c r="D460" i="20" s="1"/>
  <c r="D1167" i="20"/>
  <c r="I1168" i="20" s="1"/>
  <c r="E1171" i="20" s="1"/>
  <c r="F1171" i="20" s="1"/>
  <c r="D1172" i="20" s="1"/>
  <c r="D786" i="13"/>
  <c r="J787" i="13" s="1"/>
  <c r="E790" i="13" s="1"/>
  <c r="F790" i="13" s="1"/>
  <c r="D544" i="20"/>
  <c r="I545" i="20" s="1"/>
  <c r="E548" i="20" s="1"/>
  <c r="D98" i="13"/>
  <c r="J99" i="13" s="1"/>
  <c r="E102" i="13" s="1"/>
  <c r="F102" i="13" s="1"/>
  <c r="D366" i="20"/>
  <c r="I367" i="20" s="1"/>
  <c r="E370" i="20" s="1"/>
  <c r="F370" i="20" s="1"/>
  <c r="D371" i="20" s="1"/>
  <c r="D1130" i="13"/>
  <c r="J1131" i="13" s="1"/>
  <c r="E1134" i="13" s="1"/>
  <c r="F1134" i="13" s="1"/>
  <c r="D811" i="20"/>
  <c r="I812" i="20" s="1"/>
  <c r="E815" i="20" s="1"/>
  <c r="F815" i="20" s="1"/>
  <c r="D816" i="20" s="1"/>
  <c r="D277" i="20"/>
  <c r="I278" i="20" s="1"/>
  <c r="E281" i="20" s="1"/>
  <c r="F281" i="20" s="1"/>
  <c r="D282" i="20" s="1"/>
  <c r="D98" i="20"/>
  <c r="I99" i="20" s="1"/>
  <c r="E102" i="20" s="1"/>
  <c r="F102" i="20" s="1"/>
  <c r="D103" i="20" s="1"/>
  <c r="D958" i="13"/>
  <c r="J959" i="13" s="1"/>
  <c r="E962" i="13" s="1"/>
  <c r="F962" i="13" s="1"/>
  <c r="D614" i="13"/>
  <c r="J615" i="13" s="1"/>
  <c r="E618" i="13" s="1"/>
  <c r="F618" i="13" s="1"/>
  <c r="D270" i="13"/>
  <c r="J271" i="13" s="1"/>
  <c r="E274" i="13" s="1"/>
  <c r="F274" i="13" s="1"/>
  <c r="D633" i="20"/>
  <c r="I634" i="20" s="1"/>
  <c r="E637" i="20" s="1"/>
  <c r="F637" i="20" s="1"/>
  <c r="D638" i="20" s="1"/>
  <c r="D1078" i="20"/>
  <c r="I1079" i="20" s="1"/>
  <c r="E1082" i="20" s="1"/>
  <c r="F1082" i="20" s="1"/>
  <c r="D1083" i="20" s="1"/>
  <c r="D188" i="20"/>
  <c r="I189" i="20" s="1"/>
  <c r="E192" i="20" s="1"/>
  <c r="F192" i="20" s="1"/>
  <c r="D193" i="20" s="1"/>
  <c r="D700" i="13"/>
  <c r="J701" i="13" s="1"/>
  <c r="E704" i="13" s="1"/>
  <c r="F704" i="13" s="1"/>
  <c r="D1217" i="13"/>
  <c r="J1218" i="13" s="1"/>
  <c r="E1221" i="13" s="1"/>
  <c r="F1221" i="13" s="1"/>
  <c r="D442" i="13"/>
  <c r="J443" i="13" s="1"/>
  <c r="E446" i="13" s="1"/>
  <c r="F446" i="13" s="1"/>
  <c r="D528" i="13"/>
  <c r="J529" i="13" s="1"/>
  <c r="E532" i="13" s="1"/>
  <c r="F532" i="13" s="1"/>
  <c r="E82" i="11"/>
  <c r="E74" i="11"/>
  <c r="E76" i="11" s="1"/>
  <c r="D722" i="20"/>
  <c r="I723" i="20" s="1"/>
  <c r="E726" i="20" s="1"/>
  <c r="F726" i="20" s="1"/>
  <c r="D727" i="20" s="1"/>
  <c r="D900" i="20"/>
  <c r="I901" i="20" s="1"/>
  <c r="E904" i="20" s="1"/>
  <c r="F904" i="20" s="1"/>
  <c r="D905" i="20" s="1"/>
  <c r="D356" i="13"/>
  <c r="J357" i="13" s="1"/>
  <c r="E360" i="13" s="1"/>
  <c r="F360" i="13" s="1"/>
  <c r="D184" i="13"/>
  <c r="J185" i="13" s="1"/>
  <c r="E188" i="13" s="1"/>
  <c r="F188" i="13" s="1"/>
  <c r="J161" i="2"/>
  <c r="L161" i="2" s="1"/>
  <c r="J235" i="2"/>
  <c r="L235" i="2" s="1"/>
  <c r="L239" i="2" s="1"/>
  <c r="L241" i="2" s="1"/>
  <c r="J114" i="2"/>
  <c r="L114" i="2" s="1"/>
  <c r="J162" i="2"/>
  <c r="L162" i="2" s="1"/>
  <c r="J69" i="2"/>
  <c r="L69" i="2" s="1"/>
  <c r="J149" i="2"/>
  <c r="L149" i="2" s="1"/>
  <c r="L113" i="2" s="1"/>
  <c r="B45" i="2"/>
  <c r="I64" i="11"/>
  <c r="M62" i="11"/>
  <c r="F548" i="20"/>
  <c r="D549" i="20" s="1"/>
  <c r="A42" i="5"/>
  <c r="A43" i="5" s="1"/>
  <c r="A44" i="5" s="1"/>
  <c r="A47" i="5" s="1"/>
  <c r="A49" i="5" s="1"/>
  <c r="I53" i="11"/>
  <c r="M51" i="11"/>
  <c r="L104" i="2"/>
  <c r="D26" i="49"/>
  <c r="H25" i="49"/>
  <c r="K25" i="49" s="1"/>
  <c r="F1048" i="13"/>
  <c r="B47" i="48"/>
  <c r="A45" i="48"/>
  <c r="E245" i="2"/>
  <c r="B58" i="41"/>
  <c r="A58" i="41"/>
  <c r="A54" i="11"/>
  <c r="A55" i="11" s="1"/>
  <c r="F26" i="32"/>
  <c r="H25" i="32"/>
  <c r="K25" i="32" s="1"/>
  <c r="G104" i="2"/>
  <c r="G125" i="2" s="1"/>
  <c r="F28" i="49"/>
  <c r="I72" i="11"/>
  <c r="D1309" i="13" l="1"/>
  <c r="G1308" i="13"/>
  <c r="H25" i="47"/>
  <c r="K25" i="47" s="1"/>
  <c r="F26" i="47"/>
  <c r="E21" i="20"/>
  <c r="F21" i="20" s="1"/>
  <c r="F24" i="20" s="1"/>
  <c r="F29" i="20" s="1"/>
  <c r="E21" i="13"/>
  <c r="F21" i="13" s="1"/>
  <c r="F24" i="13" s="1"/>
  <c r="E29" i="13" s="1"/>
  <c r="L255" i="2"/>
  <c r="L258" i="2" s="1"/>
  <c r="G190" i="2" s="1"/>
  <c r="L91" i="2"/>
  <c r="J176" i="2"/>
  <c r="L176" i="2" s="1"/>
  <c r="J175" i="2"/>
  <c r="L175" i="2" s="1"/>
  <c r="J86" i="2"/>
  <c r="L86" i="2" s="1"/>
  <c r="J164" i="2"/>
  <c r="L164" i="2" s="1"/>
  <c r="J85" i="2"/>
  <c r="L85" i="2" s="1"/>
  <c r="J117" i="2"/>
  <c r="L117" i="2" s="1"/>
  <c r="J110" i="2"/>
  <c r="L110" i="2" s="1"/>
  <c r="J159" i="2"/>
  <c r="L159" i="2" s="1"/>
  <c r="J73" i="2"/>
  <c r="L73" i="2" s="1"/>
  <c r="J74" i="2"/>
  <c r="L74" i="2" s="1"/>
  <c r="J72" i="2"/>
  <c r="L72" i="2" s="1"/>
  <c r="J115" i="2"/>
  <c r="L115" i="2" s="1"/>
  <c r="J84" i="2"/>
  <c r="L84" i="2" s="1"/>
  <c r="J181" i="2"/>
  <c r="L181" i="2" s="1"/>
  <c r="A61" i="41"/>
  <c r="D255" i="2"/>
  <c r="D1135" i="13"/>
  <c r="G1134" i="13"/>
  <c r="D877" i="13"/>
  <c r="G876" i="13"/>
  <c r="E371" i="20"/>
  <c r="E994" i="20"/>
  <c r="F994" i="20" s="1"/>
  <c r="D995" i="20" s="1"/>
  <c r="E727" i="20"/>
  <c r="F727" i="20" s="1"/>
  <c r="D728" i="20" s="1"/>
  <c r="F27" i="32"/>
  <c r="H26" i="32"/>
  <c r="K26" i="32" s="1"/>
  <c r="E103" i="20"/>
  <c r="F103" i="20" s="1"/>
  <c r="D104" i="20" s="1"/>
  <c r="E816" i="20"/>
  <c r="F816" i="20" s="1"/>
  <c r="D817" i="20" s="1"/>
  <c r="D44" i="5"/>
  <c r="B46" i="2"/>
  <c r="B48" i="2" s="1"/>
  <c r="B66" i="2" s="1"/>
  <c r="G790" i="13"/>
  <c r="D791" i="13"/>
  <c r="E1172" i="20"/>
  <c r="F1172" i="20" s="1"/>
  <c r="D1173" i="20" s="1"/>
  <c r="G532" i="13"/>
  <c r="D533" i="13"/>
  <c r="I74" i="11"/>
  <c r="M72" i="11"/>
  <c r="D963" i="13"/>
  <c r="G962" i="13"/>
  <c r="F29" i="49"/>
  <c r="E193" i="20"/>
  <c r="F193" i="20" s="1"/>
  <c r="D194" i="20" s="1"/>
  <c r="C56" i="11"/>
  <c r="A56" i="11"/>
  <c r="G1048" i="13"/>
  <c r="D1049" i="13"/>
  <c r="D27" i="49"/>
  <c r="H26" i="49"/>
  <c r="G188" i="13"/>
  <c r="D189" i="13"/>
  <c r="E549" i="20"/>
  <c r="F549" i="20" s="1"/>
  <c r="D550" i="20" s="1"/>
  <c r="E460" i="20"/>
  <c r="E48" i="2"/>
  <c r="D619" i="13"/>
  <c r="G618" i="13"/>
  <c r="D103" i="13"/>
  <c r="G102" i="13"/>
  <c r="E1083" i="20"/>
  <c r="F1083" i="20" s="1"/>
  <c r="D1084" i="20" s="1"/>
  <c r="A50" i="5"/>
  <c r="A51" i="5" s="1"/>
  <c r="A52" i="5" s="1"/>
  <c r="G360" i="13"/>
  <c r="D361" i="13"/>
  <c r="I66" i="11"/>
  <c r="M64" i="11"/>
  <c r="G1221" i="13"/>
  <c r="D1222" i="13"/>
  <c r="G274" i="13"/>
  <c r="D275" i="13"/>
  <c r="E638" i="20"/>
  <c r="F638" i="20" s="1"/>
  <c r="D639" i="20" s="1"/>
  <c r="D447" i="13"/>
  <c r="G446" i="13"/>
  <c r="G704" i="13"/>
  <c r="D705" i="13"/>
  <c r="E905" i="20"/>
  <c r="I82" i="11"/>
  <c r="C55" i="11"/>
  <c r="E155" i="2"/>
  <c r="A47" i="48"/>
  <c r="C21" i="48" s="1"/>
  <c r="E282" i="20"/>
  <c r="F282" i="20" s="1"/>
  <c r="D283" i="20" s="1"/>
  <c r="I55" i="11"/>
  <c r="M53" i="11"/>
  <c r="E1309" i="13" l="1"/>
  <c r="F1309" i="13" s="1"/>
  <c r="L177" i="2"/>
  <c r="H26" i="47"/>
  <c r="K26" i="47" s="1"/>
  <c r="F27" i="47"/>
  <c r="L211" i="2"/>
  <c r="E35" i="13"/>
  <c r="F35" i="20"/>
  <c r="G211" i="2"/>
  <c r="G205" i="2"/>
  <c r="G198" i="2" s="1"/>
  <c r="G203" i="2" s="1"/>
  <c r="L75" i="2"/>
  <c r="J75" i="2" s="1"/>
  <c r="L94" i="2"/>
  <c r="L87" i="2"/>
  <c r="G22" i="48"/>
  <c r="H22" i="48"/>
  <c r="H28" i="48" s="1"/>
  <c r="L93" i="2"/>
  <c r="F64" i="13"/>
  <c r="G64" i="20"/>
  <c r="E550" i="20"/>
  <c r="F550" i="20" s="1"/>
  <c r="D551" i="20" s="1"/>
  <c r="E104" i="20"/>
  <c r="F104" i="20" s="1"/>
  <c r="D105" i="20" s="1"/>
  <c r="E639" i="20"/>
  <c r="F639" i="20" s="1"/>
  <c r="D640" i="20" s="1"/>
  <c r="E1084" i="20"/>
  <c r="F1084" i="20" s="1"/>
  <c r="D1085" i="20" s="1"/>
  <c r="E283" i="20"/>
  <c r="F283" i="20" s="1"/>
  <c r="D284" i="20" s="1"/>
  <c r="E447" i="13"/>
  <c r="F447" i="13" s="1"/>
  <c r="D448" i="13" s="1"/>
  <c r="E275" i="13"/>
  <c r="D51" i="5"/>
  <c r="D28" i="49"/>
  <c r="H27" i="49"/>
  <c r="K27" i="49" s="1"/>
  <c r="C57" i="11"/>
  <c r="A57" i="11"/>
  <c r="H27" i="32"/>
  <c r="K27" i="32" s="1"/>
  <c r="F28" i="32"/>
  <c r="E877" i="13"/>
  <c r="F877" i="13" s="1"/>
  <c r="D63" i="41"/>
  <c r="A64" i="41"/>
  <c r="F30" i="49"/>
  <c r="I76" i="11"/>
  <c r="M74" i="11"/>
  <c r="E1173" i="20"/>
  <c r="F1173" i="20" s="1"/>
  <c r="D1174" i="20" s="1"/>
  <c r="E817" i="20"/>
  <c r="F817" i="20" s="1"/>
  <c r="D818" i="20" s="1"/>
  <c r="E728" i="20"/>
  <c r="F728" i="20" s="1"/>
  <c r="D729" i="20" s="1"/>
  <c r="E103" i="13"/>
  <c r="E189" i="13"/>
  <c r="F189" i="13" s="1"/>
  <c r="D190" i="13" s="1"/>
  <c r="E1049" i="13"/>
  <c r="F1049" i="13" s="1"/>
  <c r="I56" i="11"/>
  <c r="I57" i="11" s="1"/>
  <c r="I58" i="11" s="1"/>
  <c r="G56" i="11"/>
  <c r="G57" i="11" s="1"/>
  <c r="G58" i="11" s="1"/>
  <c r="E56" i="11"/>
  <c r="E57" i="11" s="1"/>
  <c r="E1222" i="13"/>
  <c r="F1222" i="13" s="1"/>
  <c r="E361" i="13"/>
  <c r="F460" i="20"/>
  <c r="D461" i="20" s="1"/>
  <c r="E533" i="13"/>
  <c r="F533" i="13" s="1"/>
  <c r="E791" i="13"/>
  <c r="D302" i="2"/>
  <c r="F371" i="20"/>
  <c r="D372" i="20" s="1"/>
  <c r="E1135" i="13"/>
  <c r="F1135" i="13" s="1"/>
  <c r="E705" i="13"/>
  <c r="I67" i="11"/>
  <c r="I68" i="11" s="1"/>
  <c r="I69" i="11" s="1"/>
  <c r="G67" i="11"/>
  <c r="G68" i="11" s="1"/>
  <c r="G69" i="11" s="1"/>
  <c r="E67" i="11"/>
  <c r="E68" i="11" s="1"/>
  <c r="F905" i="20"/>
  <c r="D906" i="20" s="1"/>
  <c r="E619" i="13"/>
  <c r="K26" i="49"/>
  <c r="E194" i="20"/>
  <c r="F194" i="20" s="1"/>
  <c r="D195" i="20" s="1"/>
  <c r="E963" i="13"/>
  <c r="F963" i="13" s="1"/>
  <c r="B67" i="2"/>
  <c r="B68" i="2" s="1"/>
  <c r="E995" i="20"/>
  <c r="F995" i="20" s="1"/>
  <c r="D996" i="20" s="1"/>
  <c r="J118" i="2" l="1"/>
  <c r="L118" i="2" s="1"/>
  <c r="I55" i="30"/>
  <c r="I52" i="30" s="1"/>
  <c r="D1310" i="13"/>
  <c r="E1310" i="13" s="1"/>
  <c r="G1309" i="13"/>
  <c r="J185" i="2"/>
  <c r="L185" i="2" s="1"/>
  <c r="J199" i="2"/>
  <c r="L199" i="2" s="1"/>
  <c r="E37" i="13" s="1"/>
  <c r="J116" i="2"/>
  <c r="L116" i="2" s="1"/>
  <c r="L121" i="2" s="1"/>
  <c r="J160" i="2"/>
  <c r="L160" i="2" s="1"/>
  <c r="L165" i="2" s="1"/>
  <c r="L167" i="2" s="1"/>
  <c r="L169" i="2" s="1"/>
  <c r="L95" i="2"/>
  <c r="J95" i="2" s="1"/>
  <c r="G82" i="11" s="1"/>
  <c r="H27" i="47"/>
  <c r="K27" i="47" s="1"/>
  <c r="F28" i="47"/>
  <c r="G213" i="2"/>
  <c r="G28" i="48"/>
  <c r="I22" i="48"/>
  <c r="I28" i="48" s="1"/>
  <c r="D964" i="13"/>
  <c r="E964" i="13" s="1"/>
  <c r="F964" i="13" s="1"/>
  <c r="D965" i="13" s="1"/>
  <c r="G963" i="13"/>
  <c r="D1050" i="13"/>
  <c r="E1050" i="13" s="1"/>
  <c r="F1050" i="13" s="1"/>
  <c r="G1049" i="13"/>
  <c r="E195" i="20"/>
  <c r="F195" i="20" s="1"/>
  <c r="D196" i="20" s="1"/>
  <c r="D1136" i="13"/>
  <c r="G1135" i="13"/>
  <c r="E1174" i="20"/>
  <c r="F1174" i="20" s="1"/>
  <c r="D1175" i="20" s="1"/>
  <c r="D878" i="13"/>
  <c r="G877" i="13"/>
  <c r="D1223" i="13"/>
  <c r="G1222" i="13"/>
  <c r="E729" i="20"/>
  <c r="F729" i="20" s="1"/>
  <c r="D730" i="20" s="1"/>
  <c r="D534" i="13"/>
  <c r="G533" i="13"/>
  <c r="E818" i="20"/>
  <c r="F818" i="20" s="1"/>
  <c r="D819" i="20" s="1"/>
  <c r="E996" i="20"/>
  <c r="F996" i="20" s="1"/>
  <c r="D997" i="20" s="1"/>
  <c r="E1085" i="20"/>
  <c r="F1085" i="20" s="1"/>
  <c r="D1086" i="20" s="1"/>
  <c r="M68" i="11"/>
  <c r="E69" i="11"/>
  <c r="E461" i="20"/>
  <c r="G189" i="13"/>
  <c r="H28" i="32"/>
  <c r="K28" i="32" s="1"/>
  <c r="F29" i="32"/>
  <c r="D29" i="49"/>
  <c r="H28" i="49"/>
  <c r="K28" i="49" s="1"/>
  <c r="F275" i="13"/>
  <c r="E448" i="13"/>
  <c r="F448" i="13" s="1"/>
  <c r="F791" i="13"/>
  <c r="E58" i="11"/>
  <c r="M57" i="11"/>
  <c r="E190" i="13"/>
  <c r="F190" i="13" s="1"/>
  <c r="I77" i="11"/>
  <c r="I78" i="11" s="1"/>
  <c r="I79" i="11" s="1"/>
  <c r="G77" i="11"/>
  <c r="G78" i="11" s="1"/>
  <c r="G79" i="11" s="1"/>
  <c r="E77" i="11"/>
  <c r="E78" i="11" s="1"/>
  <c r="E79" i="11" s="1"/>
  <c r="A58" i="11"/>
  <c r="C58" i="11"/>
  <c r="E284" i="20"/>
  <c r="F284" i="20" s="1"/>
  <c r="D285" i="20" s="1"/>
  <c r="E640" i="20"/>
  <c r="E551" i="20"/>
  <c r="F551" i="20" s="1"/>
  <c r="D552" i="20" s="1"/>
  <c r="E105" i="20"/>
  <c r="C75" i="20"/>
  <c r="B69" i="2"/>
  <c r="B70" i="2" s="1"/>
  <c r="E226" i="2"/>
  <c r="C75" i="13"/>
  <c r="F619" i="13"/>
  <c r="E906" i="20"/>
  <c r="F906" i="20" s="1"/>
  <c r="D907" i="20" s="1"/>
  <c r="F705" i="13"/>
  <c r="E372" i="20"/>
  <c r="F372" i="20" s="1"/>
  <c r="D373" i="20" s="1"/>
  <c r="F361" i="13"/>
  <c r="F103" i="13"/>
  <c r="F31" i="49"/>
  <c r="A65" i="41"/>
  <c r="A66" i="41" s="1"/>
  <c r="A67" i="41" s="1"/>
  <c r="A68" i="41" s="1"/>
  <c r="A69" i="41" s="1"/>
  <c r="A70" i="41" s="1"/>
  <c r="A71" i="41" s="1"/>
  <c r="A72" i="41" s="1"/>
  <c r="A73" i="41" s="1"/>
  <c r="A74" i="41" s="1"/>
  <c r="G447" i="13"/>
  <c r="F1310" i="13" l="1"/>
  <c r="D1311" i="13" s="1"/>
  <c r="F37" i="20"/>
  <c r="G1310" i="13"/>
  <c r="E1311" i="13"/>
  <c r="F1311" i="13" s="1"/>
  <c r="L125" i="2"/>
  <c r="L205" i="2" s="1"/>
  <c r="G49" i="20" s="1"/>
  <c r="H28" i="47"/>
  <c r="K28" i="47" s="1"/>
  <c r="F29" i="47"/>
  <c r="D191" i="13"/>
  <c r="E191" i="13" s="1"/>
  <c r="F191" i="13" s="1"/>
  <c r="G190" i="13"/>
  <c r="D449" i="13"/>
  <c r="G448" i="13"/>
  <c r="E819" i="20"/>
  <c r="F819" i="20" s="1"/>
  <c r="D820" i="20" s="1"/>
  <c r="E1086" i="20"/>
  <c r="F1086" i="20" s="1"/>
  <c r="D1087" i="20" s="1"/>
  <c r="D1051" i="13"/>
  <c r="G1050" i="13"/>
  <c r="E552" i="20"/>
  <c r="F552" i="20" s="1"/>
  <c r="D553" i="20" s="1"/>
  <c r="E907" i="20"/>
  <c r="F907" i="20" s="1"/>
  <c r="D908" i="20" s="1"/>
  <c r="B71" i="2"/>
  <c r="B72" i="2" s="1"/>
  <c r="E965" i="13"/>
  <c r="D792" i="13"/>
  <c r="G791" i="13"/>
  <c r="E997" i="20"/>
  <c r="F997" i="20" s="1"/>
  <c r="D998" i="20" s="1"/>
  <c r="E730" i="20"/>
  <c r="F730" i="20" s="1"/>
  <c r="D731" i="20" s="1"/>
  <c r="E878" i="13"/>
  <c r="F878" i="13" s="1"/>
  <c r="E1136" i="13"/>
  <c r="F1136" i="13" s="1"/>
  <c r="D30" i="49"/>
  <c r="H29" i="49"/>
  <c r="K29" i="49" s="1"/>
  <c r="E1175" i="20"/>
  <c r="E196" i="20"/>
  <c r="F196" i="20" s="1"/>
  <c r="D197" i="20" s="1"/>
  <c r="D362" i="13"/>
  <c r="G361" i="13"/>
  <c r="E373" i="20"/>
  <c r="F373" i="20" s="1"/>
  <c r="D374" i="20" s="1"/>
  <c r="D620" i="13"/>
  <c r="G619" i="13"/>
  <c r="G964" i="13"/>
  <c r="C59" i="11"/>
  <c r="A59" i="11"/>
  <c r="A61" i="11" s="1"/>
  <c r="M69" i="11"/>
  <c r="E70" i="11" s="1"/>
  <c r="E534" i="13"/>
  <c r="F534" i="13" s="1"/>
  <c r="E1223" i="13"/>
  <c r="F1223" i="13" s="1"/>
  <c r="A76" i="41"/>
  <c r="B50" i="41"/>
  <c r="F640" i="20"/>
  <c r="D641" i="20" s="1"/>
  <c r="F32" i="49"/>
  <c r="B76" i="41"/>
  <c r="D104" i="13"/>
  <c r="G103" i="13"/>
  <c r="D706" i="13"/>
  <c r="G705" i="13"/>
  <c r="F105" i="20"/>
  <c r="D106" i="20" s="1"/>
  <c r="E285" i="20"/>
  <c r="F285" i="20" s="1"/>
  <c r="D286" i="20" s="1"/>
  <c r="M79" i="11"/>
  <c r="E80" i="11" s="1"/>
  <c r="M58" i="11"/>
  <c r="D276" i="13"/>
  <c r="G275" i="13"/>
  <c r="F30" i="32"/>
  <c r="H29" i="32"/>
  <c r="K29" i="32" s="1"/>
  <c r="F461" i="20"/>
  <c r="D462" i="20" s="1"/>
  <c r="D1312" i="13" l="1"/>
  <c r="G1311" i="13"/>
  <c r="F49" i="13"/>
  <c r="F28" i="20"/>
  <c r="F30" i="20" s="1"/>
  <c r="G56" i="20" s="1"/>
  <c r="E28" i="13"/>
  <c r="E30" i="13" s="1"/>
  <c r="E34" i="13" s="1"/>
  <c r="E36" i="13" s="1"/>
  <c r="E40" i="13" s="1"/>
  <c r="F57" i="13" s="1"/>
  <c r="E1312" i="13"/>
  <c r="F1312" i="13" s="1"/>
  <c r="L198" i="2"/>
  <c r="L203" i="2" s="1"/>
  <c r="F50" i="13" s="1"/>
  <c r="H29" i="47"/>
  <c r="K29" i="47" s="1"/>
  <c r="F30" i="47"/>
  <c r="D1224" i="13"/>
  <c r="G1223" i="13"/>
  <c r="D535" i="13"/>
  <c r="E535" i="13" s="1"/>
  <c r="G534" i="13"/>
  <c r="D1137" i="13"/>
  <c r="E1137" i="13" s="1"/>
  <c r="F1137" i="13" s="1"/>
  <c r="D1138" i="13" s="1"/>
  <c r="G1136" i="13"/>
  <c r="D879" i="13"/>
  <c r="G878" i="13"/>
  <c r="E731" i="20"/>
  <c r="F731" i="20" s="1"/>
  <c r="D732" i="20" s="1"/>
  <c r="E820" i="20"/>
  <c r="F820" i="20" s="1"/>
  <c r="D821" i="20" s="1"/>
  <c r="D192" i="13"/>
  <c r="G191" i="13"/>
  <c r="E286" i="20"/>
  <c r="F286" i="20" s="1"/>
  <c r="D287" i="20" s="1"/>
  <c r="E998" i="20"/>
  <c r="F998" i="20" s="1"/>
  <c r="D999" i="20" s="1"/>
  <c r="E197" i="20"/>
  <c r="F197" i="20" s="1"/>
  <c r="D198" i="20" s="1"/>
  <c r="E1087" i="20"/>
  <c r="F1087" i="20" s="1"/>
  <c r="D1088" i="20" s="1"/>
  <c r="E908" i="20"/>
  <c r="F908" i="20" s="1"/>
  <c r="D909" i="20" s="1"/>
  <c r="E1224" i="13"/>
  <c r="F1224" i="13" s="1"/>
  <c r="E620" i="13"/>
  <c r="E362" i="13"/>
  <c r="G80" i="11"/>
  <c r="H48" i="30" s="1"/>
  <c r="I48" i="30" s="1"/>
  <c r="I46" i="30" s="1"/>
  <c r="G59" i="11"/>
  <c r="I59" i="11"/>
  <c r="E706" i="13"/>
  <c r="F706" i="13" s="1"/>
  <c r="F36" i="49"/>
  <c r="F39" i="49"/>
  <c r="A77" i="41"/>
  <c r="A78" i="41" s="1"/>
  <c r="A79" i="41" s="1"/>
  <c r="A80" i="41" s="1"/>
  <c r="D31" i="49"/>
  <c r="H30" i="49"/>
  <c r="K30" i="49" s="1"/>
  <c r="I80" i="11"/>
  <c r="E1051" i="13"/>
  <c r="F1051" i="13" s="1"/>
  <c r="F31" i="32"/>
  <c r="H30" i="32"/>
  <c r="K30" i="32" s="1"/>
  <c r="E462" i="20"/>
  <c r="F462" i="20" s="1"/>
  <c r="D463" i="20" s="1"/>
  <c r="E106" i="20"/>
  <c r="F106" i="20" s="1"/>
  <c r="D107" i="20" s="1"/>
  <c r="I70" i="11"/>
  <c r="G70" i="11"/>
  <c r="E374" i="20"/>
  <c r="F374" i="20" s="1"/>
  <c r="D375" i="20" s="1"/>
  <c r="E553" i="20"/>
  <c r="F553" i="20" s="1"/>
  <c r="D554" i="20" s="1"/>
  <c r="E276" i="13"/>
  <c r="F276" i="13" s="1"/>
  <c r="D277" i="13" s="1"/>
  <c r="E59" i="11"/>
  <c r="E104" i="13"/>
  <c r="E641" i="20"/>
  <c r="F641" i="20" s="1"/>
  <c r="D642" i="20" s="1"/>
  <c r="A62" i="11"/>
  <c r="C62" i="11"/>
  <c r="F1175" i="20"/>
  <c r="D1176" i="20" s="1"/>
  <c r="E792" i="13"/>
  <c r="F965" i="13"/>
  <c r="B73" i="2"/>
  <c r="B74" i="2" s="1"/>
  <c r="E449" i="13"/>
  <c r="I32" i="30" l="1"/>
  <c r="H33" i="30"/>
  <c r="I33" i="30" s="1"/>
  <c r="H42" i="30"/>
  <c r="I42" i="30" s="1"/>
  <c r="H41" i="30"/>
  <c r="I41" i="30" s="1"/>
  <c r="H38" i="30"/>
  <c r="I38" i="30" s="1"/>
  <c r="F34" i="20"/>
  <c r="F36" i="20" s="1"/>
  <c r="F40" i="20" s="1"/>
  <c r="G57" i="20" s="1"/>
  <c r="F56" i="13"/>
  <c r="D1313" i="13"/>
  <c r="G1312" i="13"/>
  <c r="G50" i="20"/>
  <c r="F31" i="47"/>
  <c r="H30" i="47"/>
  <c r="I39" i="30"/>
  <c r="F535" i="13"/>
  <c r="D536" i="13" s="1"/>
  <c r="E536" i="13" s="1"/>
  <c r="F536" i="13" s="1"/>
  <c r="D707" i="13"/>
  <c r="G706" i="13"/>
  <c r="D1225" i="13"/>
  <c r="G1224" i="13"/>
  <c r="E642" i="20"/>
  <c r="F642" i="20" s="1"/>
  <c r="D643" i="20" s="1"/>
  <c r="E554" i="20"/>
  <c r="F554" i="20" s="1"/>
  <c r="D555" i="20" s="1"/>
  <c r="E999" i="20"/>
  <c r="F999" i="20" s="1"/>
  <c r="D1000" i="20" s="1"/>
  <c r="E375" i="20"/>
  <c r="F375" i="20" s="1"/>
  <c r="D376" i="20" s="1"/>
  <c r="D1052" i="13"/>
  <c r="G1051" i="13"/>
  <c r="E1088" i="20"/>
  <c r="F1088" i="20" s="1"/>
  <c r="D1089" i="20" s="1"/>
  <c r="E821" i="20"/>
  <c r="F821" i="20" s="1"/>
  <c r="D822" i="20" s="1"/>
  <c r="E463" i="20"/>
  <c r="F463" i="20" s="1"/>
  <c r="D464" i="20" s="1"/>
  <c r="E1138" i="13"/>
  <c r="F1138" i="13" s="1"/>
  <c r="D1139" i="13" s="1"/>
  <c r="E732" i="20"/>
  <c r="F732" i="20" s="1"/>
  <c r="D733" i="20" s="1"/>
  <c r="G276" i="13"/>
  <c r="B80" i="41"/>
  <c r="E192" i="13"/>
  <c r="F192" i="13" s="1"/>
  <c r="E107" i="20"/>
  <c r="F107" i="20" s="1"/>
  <c r="D108" i="20" s="1"/>
  <c r="F32" i="32"/>
  <c r="H31" i="32"/>
  <c r="K31" i="32" s="1"/>
  <c r="G1137" i="13"/>
  <c r="B51" i="41"/>
  <c r="A85" i="41"/>
  <c r="I37" i="30"/>
  <c r="F620" i="13"/>
  <c r="E909" i="20"/>
  <c r="F909" i="20" s="1"/>
  <c r="D910" i="20" s="1"/>
  <c r="E198" i="20"/>
  <c r="F198" i="20" s="1"/>
  <c r="D199" i="20" s="1"/>
  <c r="E287" i="20"/>
  <c r="F287" i="20" s="1"/>
  <c r="D288" i="20" s="1"/>
  <c r="E1176" i="20"/>
  <c r="F1176" i="20" s="1"/>
  <c r="D1177" i="20" s="1"/>
  <c r="E277" i="13"/>
  <c r="F277" i="13" s="1"/>
  <c r="B75" i="2"/>
  <c r="B77" i="2" s="1"/>
  <c r="B78" i="2" s="1"/>
  <c r="E75" i="2"/>
  <c r="F792" i="13"/>
  <c r="D966" i="13"/>
  <c r="G965" i="13"/>
  <c r="A63" i="11"/>
  <c r="A64" i="11" s="1"/>
  <c r="C72" i="11"/>
  <c r="F449" i="13"/>
  <c r="F104" i="13"/>
  <c r="D32" i="49"/>
  <c r="H32" i="49" s="1"/>
  <c r="H31" i="49"/>
  <c r="K31" i="49" s="1"/>
  <c r="F40" i="49"/>
  <c r="F362" i="13"/>
  <c r="E879" i="13"/>
  <c r="F879" i="13" s="1"/>
  <c r="I27" i="30" l="1"/>
  <c r="G535" i="13"/>
  <c r="E1313" i="13"/>
  <c r="F1313" i="13" s="1"/>
  <c r="D1314" i="13" s="1"/>
  <c r="K30" i="47"/>
  <c r="H31" i="47"/>
  <c r="K31" i="47" s="1"/>
  <c r="F32" i="47"/>
  <c r="D278" i="13"/>
  <c r="E278" i="13" s="1"/>
  <c r="F278" i="13" s="1"/>
  <c r="G277" i="13"/>
  <c r="E910" i="20"/>
  <c r="F910" i="20" s="1"/>
  <c r="D911" i="20" s="1"/>
  <c r="D193" i="13"/>
  <c r="G192" i="13"/>
  <c r="E288" i="20"/>
  <c r="F288" i="20" s="1"/>
  <c r="D289" i="20" s="1"/>
  <c r="E376" i="20"/>
  <c r="F376" i="20" s="1"/>
  <c r="D377" i="20" s="1"/>
  <c r="E108" i="20"/>
  <c r="F108" i="20" s="1"/>
  <c r="D109" i="20" s="1"/>
  <c r="E1089" i="20"/>
  <c r="F1089" i="20" s="1"/>
  <c r="D1090" i="20" s="1"/>
  <c r="D880" i="13"/>
  <c r="G879" i="13"/>
  <c r="E822" i="20"/>
  <c r="F822" i="20" s="1"/>
  <c r="D823" i="20" s="1"/>
  <c r="D537" i="13"/>
  <c r="G536" i="13"/>
  <c r="B79" i="2"/>
  <c r="B80" i="2" s="1"/>
  <c r="D450" i="13"/>
  <c r="G449" i="13"/>
  <c r="K32" i="49"/>
  <c r="K33" i="49" s="1"/>
  <c r="D36" i="49" s="1"/>
  <c r="H33" i="49"/>
  <c r="E966" i="13"/>
  <c r="F966" i="13" s="1"/>
  <c r="E1225" i="13"/>
  <c r="F1225" i="13" s="1"/>
  <c r="D793" i="13"/>
  <c r="G792" i="13"/>
  <c r="I35" i="30"/>
  <c r="I25" i="30" s="1"/>
  <c r="L183" i="2" s="1"/>
  <c r="L186" i="2" s="1"/>
  <c r="L213" i="2" s="1"/>
  <c r="L13" i="2" s="1"/>
  <c r="E464" i="20"/>
  <c r="F464" i="20" s="1"/>
  <c r="D465" i="20" s="1"/>
  <c r="E1052" i="13"/>
  <c r="F1052" i="13" s="1"/>
  <c r="D1053" i="13" s="1"/>
  <c r="E1000" i="20"/>
  <c r="F1000" i="20" s="1"/>
  <c r="D1001" i="20" s="1"/>
  <c r="E643" i="20"/>
  <c r="F643" i="20" s="1"/>
  <c r="D644" i="20" s="1"/>
  <c r="D363" i="13"/>
  <c r="G362" i="13"/>
  <c r="E199" i="20"/>
  <c r="F199" i="20" s="1"/>
  <c r="D200" i="20" s="1"/>
  <c r="E733" i="20"/>
  <c r="F733" i="20" s="1"/>
  <c r="D734" i="20" s="1"/>
  <c r="E1139" i="13"/>
  <c r="F1139" i="13" s="1"/>
  <c r="E555" i="20"/>
  <c r="F555" i="20" s="1"/>
  <c r="D556" i="20" s="1"/>
  <c r="F41" i="49"/>
  <c r="A65" i="11"/>
  <c r="A66" i="11" s="1"/>
  <c r="E1177" i="20"/>
  <c r="F1177" i="20" s="1"/>
  <c r="D1178" i="20" s="1"/>
  <c r="D105" i="13"/>
  <c r="G104" i="13"/>
  <c r="C64" i="11"/>
  <c r="D621" i="13"/>
  <c r="G620" i="13"/>
  <c r="A86" i="41"/>
  <c r="H32" i="32"/>
  <c r="F36" i="32"/>
  <c r="F39" i="32"/>
  <c r="G1138" i="13"/>
  <c r="E707" i="13"/>
  <c r="F707" i="13" s="1"/>
  <c r="D708" i="13" s="1"/>
  <c r="G1313" i="13" l="1"/>
  <c r="E1314" i="13"/>
  <c r="F1314" i="13" s="1"/>
  <c r="H32" i="47"/>
  <c r="K32" i="47" s="1"/>
  <c r="K33" i="47" s="1"/>
  <c r="D36" i="47" s="1"/>
  <c r="F36" i="47"/>
  <c r="F39" i="47"/>
  <c r="H33" i="47"/>
  <c r="E377" i="20"/>
  <c r="F377" i="20" s="1"/>
  <c r="D378" i="20" s="1"/>
  <c r="E644" i="20"/>
  <c r="F644" i="20" s="1"/>
  <c r="D645" i="20" s="1"/>
  <c r="D1140" i="13"/>
  <c r="G1139" i="13"/>
  <c r="D1226" i="13"/>
  <c r="G1225" i="13"/>
  <c r="E823" i="20"/>
  <c r="F823" i="20" s="1"/>
  <c r="D824" i="20" s="1"/>
  <c r="D967" i="13"/>
  <c r="G966" i="13"/>
  <c r="E1001" i="20"/>
  <c r="F1001" i="20" s="1"/>
  <c r="D1002" i="20" s="1"/>
  <c r="D279" i="13"/>
  <c r="G278" i="13"/>
  <c r="K32" i="32"/>
  <c r="K33" i="32" s="1"/>
  <c r="D36" i="32" s="1"/>
  <c r="H33" i="32"/>
  <c r="E556" i="20"/>
  <c r="F556" i="20" s="1"/>
  <c r="D557" i="20" s="1"/>
  <c r="B88" i="41"/>
  <c r="A87" i="41"/>
  <c r="A88" i="41" s="1"/>
  <c r="C66" i="11"/>
  <c r="B81" i="2"/>
  <c r="B82" i="2" s="1"/>
  <c r="E91" i="2"/>
  <c r="E193" i="13"/>
  <c r="F193" i="13" s="1"/>
  <c r="F47" i="13"/>
  <c r="F51" i="13" s="1"/>
  <c r="F55" i="13" s="1"/>
  <c r="F58" i="13" s="1"/>
  <c r="L20" i="2"/>
  <c r="G47" i="20"/>
  <c r="G51" i="20" s="1"/>
  <c r="G55" i="20" s="1"/>
  <c r="G58" i="20" s="1"/>
  <c r="L34" i="2"/>
  <c r="L37" i="2"/>
  <c r="L30" i="2"/>
  <c r="L31" i="2" s="1"/>
  <c r="F40" i="32"/>
  <c r="E363" i="13"/>
  <c r="F363" i="13" s="1"/>
  <c r="D364" i="13" s="1"/>
  <c r="E793" i="13"/>
  <c r="F793" i="13" s="1"/>
  <c r="H36" i="49"/>
  <c r="K36" i="49" s="1"/>
  <c r="E450" i="13"/>
  <c r="F450" i="13" s="1"/>
  <c r="E109" i="20"/>
  <c r="F109" i="20" s="1"/>
  <c r="D110" i="20" s="1"/>
  <c r="E289" i="20"/>
  <c r="F289" i="20" s="1"/>
  <c r="D290" i="20" s="1"/>
  <c r="E911" i="20"/>
  <c r="F911" i="20" s="1"/>
  <c r="D912" i="20" s="1"/>
  <c r="E708" i="13"/>
  <c r="F708" i="13" s="1"/>
  <c r="D709" i="13" s="1"/>
  <c r="E621" i="13"/>
  <c r="F621" i="13" s="1"/>
  <c r="A67" i="11"/>
  <c r="C67" i="11"/>
  <c r="E200" i="20"/>
  <c r="F200" i="20" s="1"/>
  <c r="D201" i="20" s="1"/>
  <c r="E1053" i="13"/>
  <c r="F1053" i="13" s="1"/>
  <c r="D1054" i="13" s="1"/>
  <c r="E1090" i="20"/>
  <c r="F1090" i="20" s="1"/>
  <c r="D1091" i="20" s="1"/>
  <c r="E734" i="20"/>
  <c r="F734" i="20" s="1"/>
  <c r="D735" i="20" s="1"/>
  <c r="E1178" i="20"/>
  <c r="F1178" i="20" s="1"/>
  <c r="D1179" i="20" s="1"/>
  <c r="E465" i="20"/>
  <c r="F465" i="20" s="1"/>
  <c r="D466" i="20" s="1"/>
  <c r="G707" i="13"/>
  <c r="H36" i="32"/>
  <c r="E105" i="13"/>
  <c r="F105" i="13" s="1"/>
  <c r="D106" i="13" s="1"/>
  <c r="F42" i="49"/>
  <c r="G1052" i="13"/>
  <c r="E90" i="2"/>
  <c r="E537" i="13"/>
  <c r="F537" i="13" s="1"/>
  <c r="E880" i="13"/>
  <c r="F880" i="13" s="1"/>
  <c r="D881" i="13" s="1"/>
  <c r="D1315" i="13" l="1"/>
  <c r="G1314" i="13"/>
  <c r="E1315" i="13"/>
  <c r="F1315" i="13" s="1"/>
  <c r="F40" i="47"/>
  <c r="H36" i="47"/>
  <c r="K36" i="47"/>
  <c r="D39" i="47" s="1"/>
  <c r="D794" i="13"/>
  <c r="E794" i="13" s="1"/>
  <c r="F794" i="13" s="1"/>
  <c r="G793" i="13"/>
  <c r="G1053" i="13"/>
  <c r="G880" i="13"/>
  <c r="E912" i="20"/>
  <c r="F912" i="20" s="1"/>
  <c r="D913" i="20" s="1"/>
  <c r="D451" i="13"/>
  <c r="G450" i="13"/>
  <c r="E824" i="20"/>
  <c r="F824" i="20" s="1"/>
  <c r="D825" i="20" s="1"/>
  <c r="D538" i="13"/>
  <c r="G537" i="13"/>
  <c r="E1091" i="20"/>
  <c r="F1091" i="20" s="1"/>
  <c r="D1092" i="20" s="1"/>
  <c r="D622" i="13"/>
  <c r="G621" i="13"/>
  <c r="E290" i="20"/>
  <c r="F290" i="20" s="1"/>
  <c r="D291" i="20" s="1"/>
  <c r="D39" i="49"/>
  <c r="I39" i="49"/>
  <c r="D194" i="13"/>
  <c r="G193" i="13"/>
  <c r="E557" i="20"/>
  <c r="F557" i="20" s="1"/>
  <c r="D558" i="20" s="1"/>
  <c r="E378" i="20"/>
  <c r="F378" i="20" s="1"/>
  <c r="D379" i="20" s="1"/>
  <c r="E106" i="13"/>
  <c r="F106" i="13" s="1"/>
  <c r="D107" i="13" s="1"/>
  <c r="E201" i="20"/>
  <c r="F201" i="20" s="1"/>
  <c r="D202" i="20" s="1"/>
  <c r="F41" i="32"/>
  <c r="F65" i="13"/>
  <c r="F66" i="13" s="1"/>
  <c r="F60" i="13"/>
  <c r="F68" i="13" s="1"/>
  <c r="F69" i="13" s="1"/>
  <c r="E279" i="13"/>
  <c r="F279" i="13" s="1"/>
  <c r="D280" i="13" s="1"/>
  <c r="E967" i="13"/>
  <c r="F967" i="13" s="1"/>
  <c r="D968" i="13" s="1"/>
  <c r="E1226" i="13"/>
  <c r="F1226" i="13" s="1"/>
  <c r="D1227" i="13" s="1"/>
  <c r="E466" i="20"/>
  <c r="F466" i="20" s="1"/>
  <c r="D467" i="20" s="1"/>
  <c r="E110" i="20"/>
  <c r="F110" i="20" s="1"/>
  <c r="D111" i="20" s="1"/>
  <c r="E645" i="20"/>
  <c r="F645" i="20" s="1"/>
  <c r="D646" i="20" s="1"/>
  <c r="E709" i="13"/>
  <c r="F709" i="13" s="1"/>
  <c r="G708" i="13"/>
  <c r="G70" i="20"/>
  <c r="F70" i="13"/>
  <c r="J1303" i="13" s="1"/>
  <c r="B83" i="2"/>
  <c r="B84" i="2" s="1"/>
  <c r="A89" i="41"/>
  <c r="B89" i="41"/>
  <c r="E1002" i="20"/>
  <c r="F1002" i="20" s="1"/>
  <c r="D1003" i="20" s="1"/>
  <c r="E735" i="20"/>
  <c r="F735" i="20" s="1"/>
  <c r="D736" i="20" s="1"/>
  <c r="E364" i="13"/>
  <c r="F364" i="13" s="1"/>
  <c r="E881" i="13"/>
  <c r="F881" i="13" s="1"/>
  <c r="F43" i="49"/>
  <c r="A68" i="11"/>
  <c r="C68" i="11"/>
  <c r="G105" i="13"/>
  <c r="E1179" i="20"/>
  <c r="F1179" i="20" s="1"/>
  <c r="D1180" i="20" s="1"/>
  <c r="E1054" i="13"/>
  <c r="F1054" i="13" s="1"/>
  <c r="D1055" i="13" s="1"/>
  <c r="G363" i="13"/>
  <c r="G65" i="20"/>
  <c r="G66" i="20" s="1"/>
  <c r="G60" i="20"/>
  <c r="G68" i="20" s="1"/>
  <c r="G69" i="20" s="1"/>
  <c r="K36" i="32"/>
  <c r="E1140" i="13"/>
  <c r="F1140" i="13" s="1"/>
  <c r="D1316" i="13" l="1"/>
  <c r="G1315" i="13"/>
  <c r="E1316" i="13"/>
  <c r="F1316" i="13" s="1"/>
  <c r="D1317" i="13" s="1"/>
  <c r="I39" i="47"/>
  <c r="K39" i="47" s="1"/>
  <c r="D40" i="47" s="1"/>
  <c r="H39" i="47"/>
  <c r="F41" i="47"/>
  <c r="J1304" i="13"/>
  <c r="H1308" i="13"/>
  <c r="H1309" i="13"/>
  <c r="H1310" i="13"/>
  <c r="H1311" i="13"/>
  <c r="H1312" i="13"/>
  <c r="H1313" i="13"/>
  <c r="H1314" i="13"/>
  <c r="H1315" i="13"/>
  <c r="G71" i="20"/>
  <c r="E1003" i="20"/>
  <c r="F1003" i="20" s="1"/>
  <c r="D1004" i="20" s="1"/>
  <c r="E558" i="20"/>
  <c r="F558" i="20" s="1"/>
  <c r="D559" i="20" s="1"/>
  <c r="D365" i="13"/>
  <c r="G364" i="13"/>
  <c r="E467" i="20"/>
  <c r="F467" i="20" s="1"/>
  <c r="D468" i="20" s="1"/>
  <c r="E291" i="20"/>
  <c r="F291" i="20" s="1"/>
  <c r="D292" i="20" s="1"/>
  <c r="D1141" i="13"/>
  <c r="G1140" i="13"/>
  <c r="D710" i="13"/>
  <c r="G709" i="13"/>
  <c r="E825" i="20"/>
  <c r="F825" i="20" s="1"/>
  <c r="D826" i="20" s="1"/>
  <c r="E646" i="20"/>
  <c r="F646" i="20" s="1"/>
  <c r="D647" i="20" s="1"/>
  <c r="D882" i="13"/>
  <c r="G881" i="13"/>
  <c r="D795" i="13"/>
  <c r="G794" i="13"/>
  <c r="E913" i="20"/>
  <c r="F913" i="20" s="1"/>
  <c r="D914" i="20" s="1"/>
  <c r="E1227" i="13"/>
  <c r="F1227" i="13" s="1"/>
  <c r="D1228" i="13" s="1"/>
  <c r="E280" i="13"/>
  <c r="F280" i="13" s="1"/>
  <c r="D281" i="13" s="1"/>
  <c r="E107" i="13"/>
  <c r="F107" i="13" s="1"/>
  <c r="A69" i="11"/>
  <c r="C69" i="11"/>
  <c r="A91" i="41"/>
  <c r="J269" i="13"/>
  <c r="J441" i="13"/>
  <c r="J957" i="13"/>
  <c r="J699" i="13"/>
  <c r="J1043" i="13"/>
  <c r="J97" i="13"/>
  <c r="J355" i="13"/>
  <c r="J613" i="13"/>
  <c r="J1216" i="13"/>
  <c r="J1129" i="13"/>
  <c r="J183" i="13"/>
  <c r="J527" i="13"/>
  <c r="J785" i="13"/>
  <c r="J871" i="13"/>
  <c r="G1226" i="13"/>
  <c r="G967" i="13"/>
  <c r="F71" i="13"/>
  <c r="E202" i="20"/>
  <c r="F202" i="20" s="1"/>
  <c r="D203" i="20" s="1"/>
  <c r="K39" i="49"/>
  <c r="D40" i="49" s="1"/>
  <c r="H39" i="49"/>
  <c r="E622" i="13"/>
  <c r="F622" i="13" s="1"/>
  <c r="E538" i="13"/>
  <c r="F538" i="13" s="1"/>
  <c r="D539" i="13" s="1"/>
  <c r="E451" i="13"/>
  <c r="F451" i="13" s="1"/>
  <c r="D452" i="13" s="1"/>
  <c r="E1055" i="13"/>
  <c r="F1055" i="13" s="1"/>
  <c r="D1056" i="13" s="1"/>
  <c r="E736" i="20"/>
  <c r="F736" i="20" s="1"/>
  <c r="D737" i="20" s="1"/>
  <c r="I40" i="49"/>
  <c r="I41" i="49" s="1"/>
  <c r="I42" i="49" s="1"/>
  <c r="I43" i="49" s="1"/>
  <c r="I44" i="49" s="1"/>
  <c r="I45" i="49" s="1"/>
  <c r="I46" i="49" s="1"/>
  <c r="I47" i="49" s="1"/>
  <c r="I48" i="49" s="1"/>
  <c r="I49" i="49" s="1"/>
  <c r="I50" i="49" s="1"/>
  <c r="E1180" i="20"/>
  <c r="F1180" i="20" s="1"/>
  <c r="D1181" i="20" s="1"/>
  <c r="G1054" i="13"/>
  <c r="F44" i="49"/>
  <c r="I988" i="20"/>
  <c r="I365" i="20"/>
  <c r="I187" i="20"/>
  <c r="I1166" i="20"/>
  <c r="I1167" i="20" s="1"/>
  <c r="I97" i="20"/>
  <c r="I810" i="20"/>
  <c r="I632" i="20"/>
  <c r="I276" i="20"/>
  <c r="I454" i="20"/>
  <c r="I1077" i="20"/>
  <c r="I1078" i="20" s="1"/>
  <c r="I543" i="20"/>
  <c r="I721" i="20"/>
  <c r="I899" i="20"/>
  <c r="G279" i="13"/>
  <c r="B85" i="2"/>
  <c r="B86" i="2" s="1"/>
  <c r="E111" i="20"/>
  <c r="F111" i="20" s="1"/>
  <c r="D112" i="20" s="1"/>
  <c r="E968" i="13"/>
  <c r="F968" i="13" s="1"/>
  <c r="F42" i="32"/>
  <c r="D39" i="32"/>
  <c r="I39" i="32"/>
  <c r="E92" i="2"/>
  <c r="G106" i="13"/>
  <c r="E379" i="20"/>
  <c r="F379" i="20" s="1"/>
  <c r="D380" i="20" s="1"/>
  <c r="E194" i="13"/>
  <c r="F194" i="13" s="1"/>
  <c r="E1092" i="20"/>
  <c r="F1092" i="20" s="1"/>
  <c r="D1093" i="20" s="1"/>
  <c r="G1316" i="13" l="1"/>
  <c r="H1316" i="13" s="1"/>
  <c r="M1297" i="13"/>
  <c r="M1298" i="13" s="1"/>
  <c r="E1317" i="13"/>
  <c r="F1317" i="13" s="1"/>
  <c r="I53" i="49"/>
  <c r="I55" i="49" s="1"/>
  <c r="H40" i="47"/>
  <c r="F42" i="47"/>
  <c r="I40" i="47"/>
  <c r="I41" i="47" s="1"/>
  <c r="I42" i="47" s="1"/>
  <c r="I43" i="47" s="1"/>
  <c r="I44" i="47" s="1"/>
  <c r="I45" i="47" s="1"/>
  <c r="I46" i="47" s="1"/>
  <c r="I47" i="47" s="1"/>
  <c r="I48" i="47" s="1"/>
  <c r="I49" i="47" s="1"/>
  <c r="I50" i="47" s="1"/>
  <c r="I1308" i="13"/>
  <c r="I1309" i="13"/>
  <c r="J1309" i="13" s="1"/>
  <c r="I1310" i="13"/>
  <c r="J1310" i="13" s="1"/>
  <c r="I1311" i="13"/>
  <c r="J1311" i="13" s="1"/>
  <c r="I1312" i="13"/>
  <c r="J1312" i="13" s="1"/>
  <c r="I1313" i="13"/>
  <c r="J1313" i="13" s="1"/>
  <c r="I1314" i="13"/>
  <c r="J1314" i="13" s="1"/>
  <c r="I1315" i="13"/>
  <c r="J1315" i="13" s="1"/>
  <c r="I1316" i="13"/>
  <c r="D108" i="13"/>
  <c r="E108" i="13" s="1"/>
  <c r="F108" i="13" s="1"/>
  <c r="D109" i="13" s="1"/>
  <c r="G107" i="13"/>
  <c r="H107" i="13" s="1"/>
  <c r="M107" i="13" s="1"/>
  <c r="G451" i="13"/>
  <c r="H451" i="13" s="1"/>
  <c r="M451" i="13" s="1"/>
  <c r="E203" i="20"/>
  <c r="F203" i="20" s="1"/>
  <c r="D969" i="13"/>
  <c r="G968" i="13"/>
  <c r="H968" i="13" s="1"/>
  <c r="M968" i="13" s="1"/>
  <c r="E112" i="20"/>
  <c r="F112" i="20" s="1"/>
  <c r="D623" i="13"/>
  <c r="G622" i="13"/>
  <c r="H622" i="13" s="1"/>
  <c r="M622" i="13" s="1"/>
  <c r="D195" i="13"/>
  <c r="G194" i="13"/>
  <c r="E380" i="20"/>
  <c r="F380" i="20" s="1"/>
  <c r="E647" i="20"/>
  <c r="F647" i="20" s="1"/>
  <c r="F43" i="32"/>
  <c r="G729" i="20"/>
  <c r="N713" i="20" s="1"/>
  <c r="I722" i="20"/>
  <c r="G727" i="20"/>
  <c r="G731" i="20"/>
  <c r="G726" i="20"/>
  <c r="G728" i="20"/>
  <c r="G730" i="20"/>
  <c r="G735" i="20"/>
  <c r="G732" i="20"/>
  <c r="G736" i="20"/>
  <c r="G734" i="20"/>
  <c r="G733" i="20"/>
  <c r="G284" i="20"/>
  <c r="G289" i="20"/>
  <c r="G281" i="20"/>
  <c r="G287" i="20"/>
  <c r="G285" i="20"/>
  <c r="N268" i="20" s="1"/>
  <c r="G288" i="20"/>
  <c r="G286" i="20"/>
  <c r="G282" i="20"/>
  <c r="G283" i="20"/>
  <c r="G291" i="20"/>
  <c r="I277" i="20"/>
  <c r="G290" i="20"/>
  <c r="E452" i="13"/>
  <c r="F452" i="13" s="1"/>
  <c r="D453" i="13" s="1"/>
  <c r="H876" i="13"/>
  <c r="H877" i="13"/>
  <c r="M877" i="13" s="1"/>
  <c r="H881" i="13"/>
  <c r="J872" i="13"/>
  <c r="H878" i="13"/>
  <c r="H880" i="13"/>
  <c r="M880" i="13" s="1"/>
  <c r="H879" i="13"/>
  <c r="M879" i="13" s="1"/>
  <c r="H1137" i="13"/>
  <c r="H1134" i="13"/>
  <c r="H1135" i="13"/>
  <c r="M1135" i="13" s="1"/>
  <c r="H1136" i="13"/>
  <c r="M1136" i="13" s="1"/>
  <c r="H1139" i="13"/>
  <c r="H1140" i="13"/>
  <c r="J1130" i="13"/>
  <c r="H1138" i="13"/>
  <c r="J98" i="13"/>
  <c r="H106" i="13"/>
  <c r="M106" i="13" s="1"/>
  <c r="H102" i="13"/>
  <c r="H104" i="13"/>
  <c r="M104" i="13" s="1"/>
  <c r="H103" i="13"/>
  <c r="M103" i="13" s="1"/>
  <c r="H105" i="13"/>
  <c r="M105" i="13" s="1"/>
  <c r="J442" i="13"/>
  <c r="H446" i="13"/>
  <c r="H449" i="13"/>
  <c r="H450" i="13"/>
  <c r="M450" i="13" s="1"/>
  <c r="H448" i="13"/>
  <c r="M448" i="13" s="1"/>
  <c r="H447" i="13"/>
  <c r="M447" i="13" s="1"/>
  <c r="G1227" i="13"/>
  <c r="H1227" i="13" s="1"/>
  <c r="E882" i="13"/>
  <c r="F882" i="13" s="1"/>
  <c r="E1141" i="13"/>
  <c r="F1141" i="13" s="1"/>
  <c r="G912" i="20"/>
  <c r="G908" i="20"/>
  <c r="G909" i="20"/>
  <c r="G910" i="20"/>
  <c r="G907" i="20"/>
  <c r="G911" i="20"/>
  <c r="G905" i="20"/>
  <c r="G906" i="20"/>
  <c r="N891" i="20" s="1"/>
  <c r="G913" i="20"/>
  <c r="G904" i="20"/>
  <c r="I900" i="20"/>
  <c r="G465" i="20"/>
  <c r="G459" i="20"/>
  <c r="G464" i="20"/>
  <c r="I455" i="20"/>
  <c r="G467" i="20"/>
  <c r="G462" i="20"/>
  <c r="N446" i="20" s="1"/>
  <c r="G466" i="20"/>
  <c r="G463" i="20"/>
  <c r="G460" i="20"/>
  <c r="G461" i="20"/>
  <c r="G999" i="20"/>
  <c r="G996" i="20"/>
  <c r="G1082" i="20"/>
  <c r="G994" i="20"/>
  <c r="G1174" i="20"/>
  <c r="G1173" i="20"/>
  <c r="G1179" i="20"/>
  <c r="G1090" i="20"/>
  <c r="G1089" i="20"/>
  <c r="G1087" i="20"/>
  <c r="G1180" i="20"/>
  <c r="G1172" i="20"/>
  <c r="G1003" i="20"/>
  <c r="G1086" i="20"/>
  <c r="G998" i="20"/>
  <c r="G1085" i="20"/>
  <c r="G1088" i="20"/>
  <c r="G997" i="20"/>
  <c r="N980" i="20" s="1"/>
  <c r="G1001" i="20"/>
  <c r="G1091" i="20"/>
  <c r="G1178" i="20"/>
  <c r="G1092" i="20"/>
  <c r="G1171" i="20"/>
  <c r="G1177" i="20"/>
  <c r="G1000" i="20"/>
  <c r="G995" i="20"/>
  <c r="G1002" i="20"/>
  <c r="G1084" i="20"/>
  <c r="G1176" i="20"/>
  <c r="I989" i="20"/>
  <c r="G1083" i="20"/>
  <c r="N1069" i="20" s="1"/>
  <c r="G1175" i="20"/>
  <c r="G993" i="20"/>
  <c r="E737" i="20"/>
  <c r="F737" i="20" s="1"/>
  <c r="E539" i="13"/>
  <c r="F539" i="13" s="1"/>
  <c r="D540" i="13" s="1"/>
  <c r="J356" i="13"/>
  <c r="H364" i="13"/>
  <c r="H363" i="13"/>
  <c r="M363" i="13" s="1"/>
  <c r="H362" i="13"/>
  <c r="M362" i="13" s="1"/>
  <c r="H360" i="13"/>
  <c r="H361" i="13"/>
  <c r="M361" i="13" s="1"/>
  <c r="A92" i="41"/>
  <c r="E914" i="20"/>
  <c r="F914" i="20" s="1"/>
  <c r="E826" i="20"/>
  <c r="F826" i="20" s="1"/>
  <c r="E468" i="20"/>
  <c r="F468" i="20" s="1"/>
  <c r="I40" i="32"/>
  <c r="I41" i="32" s="1"/>
  <c r="I42" i="32" s="1"/>
  <c r="I43" i="32" s="1"/>
  <c r="I44" i="32" s="1"/>
  <c r="I45" i="32" s="1"/>
  <c r="I46" i="32" s="1"/>
  <c r="I47" i="32" s="1"/>
  <c r="I48" i="32" s="1"/>
  <c r="I49" i="32" s="1"/>
  <c r="I50" i="32" s="1"/>
  <c r="G538" i="13"/>
  <c r="H538" i="13" s="1"/>
  <c r="E1228" i="13"/>
  <c r="F1228" i="13" s="1"/>
  <c r="E292" i="20"/>
  <c r="F292" i="20" s="1"/>
  <c r="E1004" i="20"/>
  <c r="F1004" i="20" s="1"/>
  <c r="E1093" i="20"/>
  <c r="F1093" i="20" s="1"/>
  <c r="D1094" i="20" s="1"/>
  <c r="B87" i="2"/>
  <c r="B89" i="2" s="1"/>
  <c r="B90" i="2" s="1"/>
  <c r="E94" i="2"/>
  <c r="E87" i="2"/>
  <c r="G111" i="20"/>
  <c r="G104" i="20"/>
  <c r="G103" i="20"/>
  <c r="G107" i="20"/>
  <c r="G106" i="20"/>
  <c r="G102" i="20"/>
  <c r="G110" i="20"/>
  <c r="G108" i="20"/>
  <c r="G109" i="20"/>
  <c r="G105" i="20"/>
  <c r="I98" i="20"/>
  <c r="E1181" i="20"/>
  <c r="F1181" i="20" s="1"/>
  <c r="E1056" i="13"/>
  <c r="F1056" i="13" s="1"/>
  <c r="J184" i="13"/>
  <c r="H194" i="13"/>
  <c r="M194" i="13" s="1"/>
  <c r="H192" i="13"/>
  <c r="M192" i="13" s="1"/>
  <c r="H193" i="13"/>
  <c r="M193" i="13" s="1"/>
  <c r="H189" i="13"/>
  <c r="M189" i="13" s="1"/>
  <c r="H191" i="13"/>
  <c r="M191" i="13" s="1"/>
  <c r="H188" i="13"/>
  <c r="H190" i="13"/>
  <c r="M190" i="13" s="1"/>
  <c r="H963" i="13"/>
  <c r="H962" i="13"/>
  <c r="H967" i="13"/>
  <c r="M967" i="13" s="1"/>
  <c r="H965" i="13"/>
  <c r="M965" i="13" s="1"/>
  <c r="H966" i="13"/>
  <c r="H964" i="13"/>
  <c r="J958" i="13"/>
  <c r="E281" i="13"/>
  <c r="F281" i="13" s="1"/>
  <c r="D282" i="13" s="1"/>
  <c r="E559" i="20"/>
  <c r="F559" i="20" s="1"/>
  <c r="G550" i="20"/>
  <c r="N535" i="20" s="1"/>
  <c r="G552" i="20"/>
  <c r="G554" i="20"/>
  <c r="I544" i="20"/>
  <c r="G558" i="20"/>
  <c r="G555" i="20"/>
  <c r="G548" i="20"/>
  <c r="G549" i="20"/>
  <c r="G556" i="20"/>
  <c r="G557" i="20"/>
  <c r="G551" i="20"/>
  <c r="G553" i="20"/>
  <c r="G645" i="20"/>
  <c r="G646" i="20"/>
  <c r="G642" i="20"/>
  <c r="I633" i="20"/>
  <c r="G643" i="20"/>
  <c r="G644" i="20"/>
  <c r="G638" i="20"/>
  <c r="G641" i="20"/>
  <c r="G637" i="20"/>
  <c r="G640" i="20"/>
  <c r="G639" i="20"/>
  <c r="N624" i="20" s="1"/>
  <c r="G193" i="20"/>
  <c r="G197" i="20"/>
  <c r="G201" i="20"/>
  <c r="G194" i="20"/>
  <c r="G200" i="20"/>
  <c r="G196" i="20"/>
  <c r="G199" i="20"/>
  <c r="N179" i="20" s="1"/>
  <c r="G198" i="20"/>
  <c r="G192" i="20"/>
  <c r="G202" i="20"/>
  <c r="G195" i="20"/>
  <c r="I188" i="20"/>
  <c r="F45" i="49"/>
  <c r="H791" i="13"/>
  <c r="M791" i="13" s="1"/>
  <c r="H794" i="13"/>
  <c r="H792" i="13"/>
  <c r="M792" i="13" s="1"/>
  <c r="H790" i="13"/>
  <c r="J786" i="13"/>
  <c r="H793" i="13"/>
  <c r="M793" i="13" s="1"/>
  <c r="J1217" i="13"/>
  <c r="H1224" i="13"/>
  <c r="M1224" i="13" s="1"/>
  <c r="H1226" i="13"/>
  <c r="H1223" i="13"/>
  <c r="M1223" i="13" s="1"/>
  <c r="H1225" i="13"/>
  <c r="H1222" i="13"/>
  <c r="H1221" i="13"/>
  <c r="H1054" i="13"/>
  <c r="J1044" i="13"/>
  <c r="H1051" i="13"/>
  <c r="M1051" i="13" s="1"/>
  <c r="H1052" i="13"/>
  <c r="H1048" i="13"/>
  <c r="H1053" i="13"/>
  <c r="H1050" i="13"/>
  <c r="M1050" i="13" s="1"/>
  <c r="H1049" i="13"/>
  <c r="H275" i="13"/>
  <c r="M275" i="13" s="1"/>
  <c r="H279" i="13"/>
  <c r="M279" i="13" s="1"/>
  <c r="H278" i="13"/>
  <c r="H274" i="13"/>
  <c r="H277" i="13"/>
  <c r="M277" i="13" s="1"/>
  <c r="H276" i="13"/>
  <c r="M276" i="13" s="1"/>
  <c r="J270" i="13"/>
  <c r="A70" i="11"/>
  <c r="A72" i="11" s="1"/>
  <c r="A73" i="11" s="1"/>
  <c r="A74" i="11" s="1"/>
  <c r="C70" i="11"/>
  <c r="G280" i="13"/>
  <c r="H280" i="13" s="1"/>
  <c r="M280" i="13" s="1"/>
  <c r="K39" i="32"/>
  <c r="D40" i="32" s="1"/>
  <c r="H39" i="32"/>
  <c r="E93" i="2"/>
  <c r="G818" i="20"/>
  <c r="G820" i="20"/>
  <c r="G823" i="20"/>
  <c r="G824" i="20"/>
  <c r="G825" i="20"/>
  <c r="G822" i="20"/>
  <c r="G819" i="20"/>
  <c r="N802" i="20" s="1"/>
  <c r="G815" i="20"/>
  <c r="G816" i="20"/>
  <c r="I811" i="20"/>
  <c r="G821" i="20"/>
  <c r="G817" i="20"/>
  <c r="G376" i="20"/>
  <c r="G377" i="20"/>
  <c r="G371" i="20"/>
  <c r="I366" i="20"/>
  <c r="G375" i="20"/>
  <c r="G373" i="20"/>
  <c r="G378" i="20"/>
  <c r="G370" i="20"/>
  <c r="G374" i="20"/>
  <c r="N357" i="20" s="1"/>
  <c r="G379" i="20"/>
  <c r="G372" i="20"/>
  <c r="G1055" i="13"/>
  <c r="H1055" i="13" s="1"/>
  <c r="K40" i="49"/>
  <c r="D41" i="49" s="1"/>
  <c r="H40" i="49"/>
  <c r="H536" i="13"/>
  <c r="M536" i="13" s="1"/>
  <c r="H535" i="13"/>
  <c r="M535" i="13" s="1"/>
  <c r="H534" i="13"/>
  <c r="H532" i="13"/>
  <c r="H533" i="13"/>
  <c r="M533" i="13" s="1"/>
  <c r="H537" i="13"/>
  <c r="J528" i="13"/>
  <c r="J614" i="13"/>
  <c r="H621" i="13"/>
  <c r="M621" i="13" s="1"/>
  <c r="H620" i="13"/>
  <c r="H618" i="13"/>
  <c r="H619" i="13"/>
  <c r="M619" i="13" s="1"/>
  <c r="J700" i="13"/>
  <c r="H706" i="13"/>
  <c r="M706" i="13" s="1"/>
  <c r="H708" i="13"/>
  <c r="M708" i="13" s="1"/>
  <c r="H705" i="13"/>
  <c r="M705" i="13" s="1"/>
  <c r="H709" i="13"/>
  <c r="M709" i="13" s="1"/>
  <c r="H704" i="13"/>
  <c r="H707" i="13"/>
  <c r="E795" i="13"/>
  <c r="F795" i="13" s="1"/>
  <c r="D796" i="13" s="1"/>
  <c r="E710" i="13"/>
  <c r="F710" i="13" s="1"/>
  <c r="E365" i="13"/>
  <c r="F365" i="13" s="1"/>
  <c r="J1316" i="13" l="1"/>
  <c r="D1318" i="13"/>
  <c r="E1318" i="13" s="1"/>
  <c r="F1318" i="13" s="1"/>
  <c r="G1317" i="13"/>
  <c r="H1317" i="13" s="1"/>
  <c r="I1317" i="13"/>
  <c r="F43" i="47"/>
  <c r="I53" i="47"/>
  <c r="I55" i="47" s="1"/>
  <c r="K40" i="47"/>
  <c r="D41" i="47" s="1"/>
  <c r="M1210" i="13"/>
  <c r="M1211" i="13" s="1"/>
  <c r="J1308" i="13"/>
  <c r="N1297" i="13"/>
  <c r="G452" i="13"/>
  <c r="H452" i="13" s="1"/>
  <c r="D204" i="20"/>
  <c r="E204" i="20" s="1"/>
  <c r="F204" i="20" s="1"/>
  <c r="H204" i="20" s="1"/>
  <c r="G203" i="20"/>
  <c r="D113" i="20"/>
  <c r="G112" i="20"/>
  <c r="N89" i="20" s="1"/>
  <c r="D1005" i="20"/>
  <c r="E1005" i="20" s="1"/>
  <c r="F1005" i="20" s="1"/>
  <c r="H1005" i="20" s="1"/>
  <c r="G1004" i="20"/>
  <c r="G108" i="13"/>
  <c r="H108" i="13" s="1"/>
  <c r="M108" i="13" s="1"/>
  <c r="D560" i="20"/>
  <c r="G559" i="20"/>
  <c r="D469" i="20"/>
  <c r="G468" i="20"/>
  <c r="D648" i="20"/>
  <c r="G647" i="20"/>
  <c r="D1229" i="13"/>
  <c r="G1228" i="13"/>
  <c r="H1228" i="13" s="1"/>
  <c r="D827" i="20"/>
  <c r="G826" i="20"/>
  <c r="D883" i="13"/>
  <c r="G882" i="13"/>
  <c r="H882" i="13" s="1"/>
  <c r="D381" i="20"/>
  <c r="G380" i="20"/>
  <c r="D366" i="13"/>
  <c r="G365" i="13"/>
  <c r="H365" i="13" s="1"/>
  <c r="M365" i="13" s="1"/>
  <c r="D293" i="20"/>
  <c r="G292" i="20"/>
  <c r="D738" i="20"/>
  <c r="G737" i="20"/>
  <c r="D1142" i="13"/>
  <c r="G1141" i="13"/>
  <c r="H1141" i="13" s="1"/>
  <c r="D711" i="13"/>
  <c r="G710" i="13"/>
  <c r="H710" i="13" s="1"/>
  <c r="D1057" i="13"/>
  <c r="G1056" i="13"/>
  <c r="H1056" i="13" s="1"/>
  <c r="D915" i="20"/>
  <c r="G914" i="20"/>
  <c r="D1182" i="20"/>
  <c r="G1181" i="20"/>
  <c r="E796" i="13"/>
  <c r="F796" i="13" s="1"/>
  <c r="M790" i="13"/>
  <c r="B91" i="2"/>
  <c r="E540" i="13"/>
  <c r="F540" i="13" s="1"/>
  <c r="M704" i="13"/>
  <c r="I704" i="13"/>
  <c r="I705" i="13"/>
  <c r="I709" i="13"/>
  <c r="I708" i="13"/>
  <c r="I707" i="13"/>
  <c r="I706" i="13"/>
  <c r="I532" i="13"/>
  <c r="I535" i="13"/>
  <c r="I533" i="13"/>
  <c r="I537" i="13"/>
  <c r="J537" i="13" s="1"/>
  <c r="I538" i="13"/>
  <c r="J538" i="13" s="1"/>
  <c r="I534" i="13"/>
  <c r="I536" i="13"/>
  <c r="M532" i="13"/>
  <c r="M534" i="13"/>
  <c r="M521" i="13"/>
  <c r="M522" i="13" s="1"/>
  <c r="H374" i="20"/>
  <c r="H376" i="20"/>
  <c r="I376" i="20" s="1"/>
  <c r="H375" i="20"/>
  <c r="I375" i="20" s="1"/>
  <c r="H377" i="20"/>
  <c r="I377" i="20" s="1"/>
  <c r="H371" i="20"/>
  <c r="I371" i="20" s="1"/>
  <c r="H373" i="20"/>
  <c r="I373" i="20" s="1"/>
  <c r="H370" i="20"/>
  <c r="H378" i="20"/>
  <c r="I378" i="20" s="1"/>
  <c r="H379" i="20"/>
  <c r="I379" i="20" s="1"/>
  <c r="H380" i="20"/>
  <c r="H372" i="20"/>
  <c r="I372" i="20" s="1"/>
  <c r="H815" i="20"/>
  <c r="H824" i="20"/>
  <c r="I824" i="20" s="1"/>
  <c r="H816" i="20"/>
  <c r="I816" i="20" s="1"/>
  <c r="H822" i="20"/>
  <c r="I822" i="20" s="1"/>
  <c r="H826" i="20"/>
  <c r="H825" i="20"/>
  <c r="I825" i="20" s="1"/>
  <c r="H818" i="20"/>
  <c r="I818" i="20" s="1"/>
  <c r="H817" i="20"/>
  <c r="I817" i="20" s="1"/>
  <c r="H819" i="20"/>
  <c r="H823" i="20"/>
  <c r="I823" i="20" s="1"/>
  <c r="H821" i="20"/>
  <c r="I821" i="20" s="1"/>
  <c r="H820" i="20"/>
  <c r="I820" i="20" s="1"/>
  <c r="K40" i="32"/>
  <c r="D41" i="32" s="1"/>
  <c r="H40" i="32"/>
  <c r="M1037" i="13"/>
  <c r="M1038" i="13" s="1"/>
  <c r="M1049" i="13"/>
  <c r="H199" i="20"/>
  <c r="H203" i="20"/>
  <c r="H194" i="20"/>
  <c r="I194" i="20" s="1"/>
  <c r="H196" i="20"/>
  <c r="I196" i="20" s="1"/>
  <c r="H195" i="20"/>
  <c r="I195" i="20" s="1"/>
  <c r="H197" i="20"/>
  <c r="I197" i="20" s="1"/>
  <c r="H202" i="20"/>
  <c r="I202" i="20" s="1"/>
  <c r="H201" i="20"/>
  <c r="I201" i="20" s="1"/>
  <c r="H193" i="20"/>
  <c r="I193" i="20" s="1"/>
  <c r="H200" i="20"/>
  <c r="I200" i="20" s="1"/>
  <c r="H198" i="20"/>
  <c r="I198" i="20" s="1"/>
  <c r="H192" i="20"/>
  <c r="H554" i="20"/>
  <c r="I554" i="20" s="1"/>
  <c r="H558" i="20"/>
  <c r="I558" i="20" s="1"/>
  <c r="H556" i="20"/>
  <c r="I556" i="20" s="1"/>
  <c r="H559" i="20"/>
  <c r="H549" i="20"/>
  <c r="I549" i="20" s="1"/>
  <c r="H550" i="20"/>
  <c r="H552" i="20"/>
  <c r="I552" i="20" s="1"/>
  <c r="H557" i="20"/>
  <c r="I557" i="20" s="1"/>
  <c r="H548" i="20"/>
  <c r="H551" i="20"/>
  <c r="I551" i="20" s="1"/>
  <c r="H555" i="20"/>
  <c r="I555" i="20" s="1"/>
  <c r="H553" i="20"/>
  <c r="I553" i="20" s="1"/>
  <c r="M360" i="13"/>
  <c r="I360" i="13"/>
  <c r="I362" i="13"/>
  <c r="I363" i="13"/>
  <c r="I361" i="13"/>
  <c r="I364" i="13"/>
  <c r="G1093" i="20"/>
  <c r="I106" i="13"/>
  <c r="I103" i="13"/>
  <c r="I107" i="13"/>
  <c r="I105" i="13"/>
  <c r="I102" i="13"/>
  <c r="I104" i="13"/>
  <c r="M1123" i="13"/>
  <c r="M1124" i="13" s="1"/>
  <c r="M1134" i="13"/>
  <c r="M865" i="13"/>
  <c r="M866" i="13" s="1"/>
  <c r="M878" i="13"/>
  <c r="M876" i="13"/>
  <c r="H287" i="20"/>
  <c r="I287" i="20" s="1"/>
  <c r="H288" i="20"/>
  <c r="I288" i="20" s="1"/>
  <c r="H291" i="20"/>
  <c r="I291" i="20" s="1"/>
  <c r="H285" i="20"/>
  <c r="H289" i="20"/>
  <c r="I289" i="20" s="1"/>
  <c r="H281" i="20"/>
  <c r="H286" i="20"/>
  <c r="I286" i="20" s="1"/>
  <c r="H292" i="20"/>
  <c r="H284" i="20"/>
  <c r="I284" i="20" s="1"/>
  <c r="H283" i="20"/>
  <c r="I283" i="20" s="1"/>
  <c r="H290" i="20"/>
  <c r="I290" i="20" s="1"/>
  <c r="H282" i="20"/>
  <c r="I282" i="20" s="1"/>
  <c r="E623" i="13"/>
  <c r="F623" i="13" s="1"/>
  <c r="E969" i="13"/>
  <c r="F969" i="13" s="1"/>
  <c r="D970" i="13" s="1"/>
  <c r="A75" i="11"/>
  <c r="A76" i="11" s="1"/>
  <c r="C76" i="11"/>
  <c r="I1053" i="13"/>
  <c r="J1053" i="13" s="1"/>
  <c r="I1052" i="13"/>
  <c r="J1052" i="13" s="1"/>
  <c r="I1049" i="13"/>
  <c r="I1051" i="13"/>
  <c r="I1054" i="13"/>
  <c r="J1054" i="13" s="1"/>
  <c r="I1048" i="13"/>
  <c r="I1055" i="13"/>
  <c r="J1055" i="13" s="1"/>
  <c r="I1050" i="13"/>
  <c r="E282" i="13"/>
  <c r="F282" i="13" s="1"/>
  <c r="M966" i="13"/>
  <c r="M951" i="13"/>
  <c r="M952" i="13" s="1"/>
  <c r="E1094" i="20"/>
  <c r="F1094" i="20" s="1"/>
  <c r="I448" i="13"/>
  <c r="I450" i="13"/>
  <c r="I446" i="13"/>
  <c r="I451" i="13"/>
  <c r="I449" i="13"/>
  <c r="I447" i="13"/>
  <c r="F44" i="32"/>
  <c r="G795" i="13"/>
  <c r="H795" i="13" s="1"/>
  <c r="M795" i="13" s="1"/>
  <c r="M620" i="13"/>
  <c r="M607" i="13"/>
  <c r="M608" i="13" s="1"/>
  <c r="M274" i="13"/>
  <c r="I1228" i="13"/>
  <c r="I1224" i="13"/>
  <c r="I1221" i="13"/>
  <c r="I1222" i="13"/>
  <c r="I1223" i="13"/>
  <c r="I1226" i="13"/>
  <c r="J1226" i="13" s="1"/>
  <c r="I1225" i="13"/>
  <c r="J1225" i="13" s="1"/>
  <c r="I1227" i="13"/>
  <c r="J1227" i="13" s="1"/>
  <c r="I793" i="13"/>
  <c r="I792" i="13"/>
  <c r="I791" i="13"/>
  <c r="I790" i="13"/>
  <c r="I794" i="13"/>
  <c r="M794" i="13"/>
  <c r="H637" i="20"/>
  <c r="H638" i="20"/>
  <c r="I638" i="20" s="1"/>
  <c r="H642" i="20"/>
  <c r="I642" i="20" s="1"/>
  <c r="H639" i="20"/>
  <c r="H647" i="20"/>
  <c r="H643" i="20"/>
  <c r="I643" i="20" s="1"/>
  <c r="H646" i="20"/>
  <c r="I646" i="20" s="1"/>
  <c r="H645" i="20"/>
  <c r="I645" i="20" s="1"/>
  <c r="H640" i="20"/>
  <c r="I640" i="20" s="1"/>
  <c r="H644" i="20"/>
  <c r="I644" i="20" s="1"/>
  <c r="H641" i="20"/>
  <c r="I641" i="20" s="1"/>
  <c r="I191" i="13"/>
  <c r="I189" i="13"/>
  <c r="I193" i="13"/>
  <c r="I190" i="13"/>
  <c r="I188" i="13"/>
  <c r="I192" i="13"/>
  <c r="I194" i="13"/>
  <c r="I53" i="32"/>
  <c r="I55" i="32" s="1"/>
  <c r="A93" i="41"/>
  <c r="A94" i="41" s="1"/>
  <c r="B94" i="41"/>
  <c r="G539" i="13"/>
  <c r="H539" i="13" s="1"/>
  <c r="H1087" i="20"/>
  <c r="I1087" i="20" s="1"/>
  <c r="H994" i="20"/>
  <c r="I994" i="20" s="1"/>
  <c r="H1002" i="20"/>
  <c r="I1002" i="20" s="1"/>
  <c r="H1084" i="20"/>
  <c r="I1084" i="20" s="1"/>
  <c r="H1003" i="20"/>
  <c r="I1003" i="20" s="1"/>
  <c r="H993" i="20"/>
  <c r="H1091" i="20"/>
  <c r="I1091" i="20" s="1"/>
  <c r="H1174" i="20"/>
  <c r="I1174" i="20" s="1"/>
  <c r="H1088" i="20"/>
  <c r="I1088" i="20" s="1"/>
  <c r="H1083" i="20"/>
  <c r="H1175" i="20"/>
  <c r="I1175" i="20" s="1"/>
  <c r="H1000" i="20"/>
  <c r="I1000" i="20" s="1"/>
  <c r="H995" i="20"/>
  <c r="I995" i="20" s="1"/>
  <c r="H1181" i="20"/>
  <c r="H1090" i="20"/>
  <c r="I1090" i="20" s="1"/>
  <c r="H1092" i="20"/>
  <c r="I1092" i="20" s="1"/>
  <c r="H1082" i="20"/>
  <c r="H997" i="20"/>
  <c r="H996" i="20"/>
  <c r="I996" i="20" s="1"/>
  <c r="H1173" i="20"/>
  <c r="I1173" i="20" s="1"/>
  <c r="H1086" i="20"/>
  <c r="I1086" i="20" s="1"/>
  <c r="H1093" i="20"/>
  <c r="H1176" i="20"/>
  <c r="I1176" i="20" s="1"/>
  <c r="H1179" i="20"/>
  <c r="I1179" i="20" s="1"/>
  <c r="H1178" i="20"/>
  <c r="I1178" i="20" s="1"/>
  <c r="H1180" i="20"/>
  <c r="I1180" i="20" s="1"/>
  <c r="H1177" i="20"/>
  <c r="I1177" i="20" s="1"/>
  <c r="H999" i="20"/>
  <c r="I999" i="20" s="1"/>
  <c r="H1004" i="20"/>
  <c r="H998" i="20"/>
  <c r="I998" i="20" s="1"/>
  <c r="H1172" i="20"/>
  <c r="I1172" i="20" s="1"/>
  <c r="H1085" i="20"/>
  <c r="I1085" i="20" s="1"/>
  <c r="H1001" i="20"/>
  <c r="I1001" i="20" s="1"/>
  <c r="H1089" i="20"/>
  <c r="I1089" i="20" s="1"/>
  <c r="H1171" i="20"/>
  <c r="N1158" i="20"/>
  <c r="H466" i="20"/>
  <c r="I466" i="20" s="1"/>
  <c r="H464" i="20"/>
  <c r="I464" i="20" s="1"/>
  <c r="H468" i="20"/>
  <c r="H467" i="20"/>
  <c r="I467" i="20" s="1"/>
  <c r="H465" i="20"/>
  <c r="I465" i="20" s="1"/>
  <c r="H460" i="20"/>
  <c r="I460" i="20" s="1"/>
  <c r="H462" i="20"/>
  <c r="H461" i="20"/>
  <c r="I461" i="20" s="1"/>
  <c r="H459" i="20"/>
  <c r="H463" i="20"/>
  <c r="I463" i="20" s="1"/>
  <c r="M446" i="13"/>
  <c r="I1136" i="13"/>
  <c r="I1140" i="13"/>
  <c r="J1140" i="13" s="1"/>
  <c r="I1135" i="13"/>
  <c r="I1138" i="13"/>
  <c r="J1138" i="13" s="1"/>
  <c r="I1134" i="13"/>
  <c r="I1139" i="13"/>
  <c r="J1139" i="13" s="1"/>
  <c r="I1137" i="13"/>
  <c r="J1137" i="13" s="1"/>
  <c r="I879" i="13"/>
  <c r="I876" i="13"/>
  <c r="I877" i="13"/>
  <c r="I878" i="13"/>
  <c r="I881" i="13"/>
  <c r="J881" i="13" s="1"/>
  <c r="I880" i="13"/>
  <c r="E453" i="13"/>
  <c r="F453" i="13" s="1"/>
  <c r="D454" i="13" s="1"/>
  <c r="H728" i="20"/>
  <c r="I728" i="20" s="1"/>
  <c r="H737" i="20"/>
  <c r="H732" i="20"/>
  <c r="I732" i="20" s="1"/>
  <c r="H734" i="20"/>
  <c r="I734" i="20" s="1"/>
  <c r="H736" i="20"/>
  <c r="I736" i="20" s="1"/>
  <c r="H730" i="20"/>
  <c r="I730" i="20" s="1"/>
  <c r="H729" i="20"/>
  <c r="H735" i="20"/>
  <c r="I735" i="20" s="1"/>
  <c r="H733" i="20"/>
  <c r="I733" i="20" s="1"/>
  <c r="H726" i="20"/>
  <c r="H731" i="20"/>
  <c r="I731" i="20" s="1"/>
  <c r="H727" i="20"/>
  <c r="I727" i="20" s="1"/>
  <c r="E113" i="20"/>
  <c r="F113" i="20" s="1"/>
  <c r="M707" i="13"/>
  <c r="M693" i="13"/>
  <c r="M694" i="13" s="1"/>
  <c r="I622" i="13"/>
  <c r="I618" i="13"/>
  <c r="I620" i="13"/>
  <c r="I621" i="13"/>
  <c r="I619" i="13"/>
  <c r="H108" i="20"/>
  <c r="I108" i="20" s="1"/>
  <c r="H105" i="20"/>
  <c r="I105" i="20" s="1"/>
  <c r="H112" i="20"/>
  <c r="H107" i="20"/>
  <c r="I107" i="20" s="1"/>
  <c r="H106" i="20"/>
  <c r="I106" i="20" s="1"/>
  <c r="H103" i="20"/>
  <c r="I103" i="20" s="1"/>
  <c r="H111" i="20"/>
  <c r="I111" i="20" s="1"/>
  <c r="H102" i="20"/>
  <c r="H110" i="20"/>
  <c r="I110" i="20" s="1"/>
  <c r="H109" i="20"/>
  <c r="I109" i="20" s="1"/>
  <c r="H104" i="20"/>
  <c r="I104" i="20" s="1"/>
  <c r="H910" i="20"/>
  <c r="I910" i="20" s="1"/>
  <c r="H909" i="20"/>
  <c r="I909" i="20" s="1"/>
  <c r="H914" i="20"/>
  <c r="H904" i="20"/>
  <c r="H911" i="20"/>
  <c r="I911" i="20" s="1"/>
  <c r="H912" i="20"/>
  <c r="I912" i="20" s="1"/>
  <c r="H907" i="20"/>
  <c r="I907" i="20" s="1"/>
  <c r="H913" i="20"/>
  <c r="I913" i="20" s="1"/>
  <c r="H908" i="20"/>
  <c r="I908" i="20" s="1"/>
  <c r="H905" i="20"/>
  <c r="I905" i="20" s="1"/>
  <c r="H906" i="20"/>
  <c r="M618" i="13"/>
  <c r="K41" i="49"/>
  <c r="D42" i="49" s="1"/>
  <c r="H41" i="49"/>
  <c r="I278" i="13"/>
  <c r="I274" i="13"/>
  <c r="I279" i="13"/>
  <c r="I276" i="13"/>
  <c r="I275" i="13"/>
  <c r="I277" i="13"/>
  <c r="I280" i="13"/>
  <c r="M278" i="13"/>
  <c r="M263" i="13"/>
  <c r="M264" i="13" s="1"/>
  <c r="F46" i="49"/>
  <c r="G281" i="13"/>
  <c r="H281" i="13" s="1"/>
  <c r="I966" i="13"/>
  <c r="I963" i="13"/>
  <c r="J963" i="13" s="1"/>
  <c r="I965" i="13"/>
  <c r="I968" i="13"/>
  <c r="I964" i="13"/>
  <c r="J964" i="13" s="1"/>
  <c r="I967" i="13"/>
  <c r="I962" i="13"/>
  <c r="M364" i="13"/>
  <c r="E109" i="13"/>
  <c r="F109" i="13" s="1"/>
  <c r="M449" i="13"/>
  <c r="M435" i="13"/>
  <c r="M436" i="13" s="1"/>
  <c r="E195" i="13"/>
  <c r="F195" i="13" s="1"/>
  <c r="D196" i="13" s="1"/>
  <c r="J1317" i="13" l="1"/>
  <c r="I452" i="13"/>
  <c r="J452" i="13" s="1"/>
  <c r="D1319" i="13"/>
  <c r="E1319" i="13" s="1"/>
  <c r="F1319" i="13" s="1"/>
  <c r="D1320" i="13" s="1"/>
  <c r="G1318" i="13"/>
  <c r="I1318" i="13" s="1"/>
  <c r="J280" i="13"/>
  <c r="O280" i="13"/>
  <c r="P280" i="13" s="1"/>
  <c r="J622" i="13"/>
  <c r="O622" i="13"/>
  <c r="P622" i="13" s="1"/>
  <c r="J451" i="13"/>
  <c r="O451" i="13"/>
  <c r="P451" i="13" s="1"/>
  <c r="J1051" i="13"/>
  <c r="O1051" i="13"/>
  <c r="P1051" i="13" s="1"/>
  <c r="J536" i="13"/>
  <c r="O536" i="13"/>
  <c r="P536" i="13" s="1"/>
  <c r="J1224" i="13"/>
  <c r="O1224" i="13"/>
  <c r="P1224" i="13" s="1"/>
  <c r="J709" i="13"/>
  <c r="O709" i="13"/>
  <c r="P709" i="13" s="1"/>
  <c r="J880" i="13"/>
  <c r="O880" i="13"/>
  <c r="P880" i="13" s="1"/>
  <c r="J968" i="13"/>
  <c r="O968" i="13"/>
  <c r="P968" i="13" s="1"/>
  <c r="J1136" i="13"/>
  <c r="O1136" i="13"/>
  <c r="P1136" i="13" s="1"/>
  <c r="K41" i="47"/>
  <c r="D42" i="47" s="1"/>
  <c r="H41" i="47"/>
  <c r="F44" i="47"/>
  <c r="I914" i="20"/>
  <c r="J1223" i="13"/>
  <c r="O1223" i="13"/>
  <c r="P1223" i="13" s="1"/>
  <c r="O1297" i="13"/>
  <c r="O1298" i="13" s="1"/>
  <c r="N1298" i="13"/>
  <c r="J967" i="13"/>
  <c r="O967" i="13"/>
  <c r="P967" i="13" s="1"/>
  <c r="J708" i="13"/>
  <c r="O708" i="13"/>
  <c r="P708" i="13" s="1"/>
  <c r="J1135" i="13"/>
  <c r="O1135" i="13"/>
  <c r="P1135" i="13" s="1"/>
  <c r="J1050" i="13"/>
  <c r="O1050" i="13"/>
  <c r="P1050" i="13" s="1"/>
  <c r="I882" i="13"/>
  <c r="J882" i="13" s="1"/>
  <c r="J879" i="13"/>
  <c r="O879" i="13"/>
  <c r="P879" i="13" s="1"/>
  <c r="J621" i="13"/>
  <c r="O621" i="13"/>
  <c r="P621" i="13" s="1"/>
  <c r="J535" i="13"/>
  <c r="O535" i="13"/>
  <c r="P535" i="13" s="1"/>
  <c r="J450" i="13"/>
  <c r="O450" i="13"/>
  <c r="P450" i="13" s="1"/>
  <c r="J279" i="13"/>
  <c r="O279" i="13"/>
  <c r="P279" i="13" s="1"/>
  <c r="I737" i="20"/>
  <c r="I1056" i="13"/>
  <c r="J1056" i="13" s="1"/>
  <c r="I795" i="13"/>
  <c r="D1095" i="20"/>
  <c r="E1095" i="20" s="1"/>
  <c r="H1094" i="20"/>
  <c r="G1094" i="20"/>
  <c r="I1181" i="20"/>
  <c r="I647" i="20"/>
  <c r="I1141" i="13"/>
  <c r="J1141" i="13" s="1"/>
  <c r="M26" i="20"/>
  <c r="I1093" i="20"/>
  <c r="I1004" i="20"/>
  <c r="I203" i="20"/>
  <c r="D283" i="13"/>
  <c r="E283" i="13" s="1"/>
  <c r="G282" i="13"/>
  <c r="H282" i="13" s="1"/>
  <c r="I539" i="13"/>
  <c r="J539" i="13" s="1"/>
  <c r="G195" i="13"/>
  <c r="H195" i="13" s="1"/>
  <c r="M195" i="13" s="1"/>
  <c r="I108" i="13"/>
  <c r="O108" i="13" s="1"/>
  <c r="P108" i="13" s="1"/>
  <c r="I365" i="13"/>
  <c r="I710" i="13"/>
  <c r="J710" i="13" s="1"/>
  <c r="I292" i="20"/>
  <c r="I380" i="20"/>
  <c r="I559" i="20"/>
  <c r="I826" i="20"/>
  <c r="J1228" i="13"/>
  <c r="I468" i="20"/>
  <c r="D624" i="13"/>
  <c r="G623" i="13"/>
  <c r="D797" i="13"/>
  <c r="G796" i="13"/>
  <c r="D541" i="13"/>
  <c r="G540" i="13"/>
  <c r="D114" i="20"/>
  <c r="G113" i="20"/>
  <c r="H113" i="20"/>
  <c r="D110" i="13"/>
  <c r="G109" i="13"/>
  <c r="E970" i="13"/>
  <c r="F970" i="13" s="1"/>
  <c r="D971" i="13" s="1"/>
  <c r="N803" i="20"/>
  <c r="N804" i="20" s="1"/>
  <c r="I819" i="20"/>
  <c r="I370" i="20"/>
  <c r="E883" i="13"/>
  <c r="F883" i="13" s="1"/>
  <c r="E196" i="13"/>
  <c r="F196" i="13" s="1"/>
  <c r="N892" i="20"/>
  <c r="N893" i="20" s="1"/>
  <c r="I906" i="20"/>
  <c r="J619" i="13"/>
  <c r="O619" i="13"/>
  <c r="P619" i="13" s="1"/>
  <c r="D205" i="20"/>
  <c r="G204" i="20"/>
  <c r="I204" i="20" s="1"/>
  <c r="I726" i="20"/>
  <c r="E454" i="13"/>
  <c r="F454" i="13" s="1"/>
  <c r="D455" i="13" s="1"/>
  <c r="N865" i="13"/>
  <c r="J878" i="13"/>
  <c r="O878" i="13"/>
  <c r="P878" i="13" s="1"/>
  <c r="A95" i="41"/>
  <c r="B95" i="41"/>
  <c r="J1221" i="13"/>
  <c r="G969" i="13"/>
  <c r="J102" i="13"/>
  <c r="J362" i="13"/>
  <c r="O362" i="13"/>
  <c r="P362" i="13" s="1"/>
  <c r="O705" i="13"/>
  <c r="P705" i="13" s="1"/>
  <c r="J705" i="13"/>
  <c r="B92" i="2"/>
  <c r="B93" i="2" s="1"/>
  <c r="B94" i="2" s="1"/>
  <c r="C64" i="13"/>
  <c r="C64" i="20"/>
  <c r="J962" i="13"/>
  <c r="J965" i="13"/>
  <c r="O965" i="13"/>
  <c r="P965" i="13" s="1"/>
  <c r="F47" i="49"/>
  <c r="J620" i="13"/>
  <c r="O620" i="13"/>
  <c r="P620" i="13" s="1"/>
  <c r="N607" i="13"/>
  <c r="J877" i="13"/>
  <c r="O877" i="13"/>
  <c r="P877" i="13" s="1"/>
  <c r="J193" i="13"/>
  <c r="O193" i="13"/>
  <c r="P193" i="13" s="1"/>
  <c r="J191" i="13"/>
  <c r="O191" i="13"/>
  <c r="P191" i="13" s="1"/>
  <c r="J791" i="13"/>
  <c r="O791" i="13"/>
  <c r="P791" i="13" s="1"/>
  <c r="J1222" i="13"/>
  <c r="N1210" i="13"/>
  <c r="F45" i="32"/>
  <c r="O446" i="13"/>
  <c r="P446" i="13" s="1"/>
  <c r="J446" i="13"/>
  <c r="J448" i="13"/>
  <c r="O448" i="13"/>
  <c r="P448" i="13" s="1"/>
  <c r="O103" i="13"/>
  <c r="P103" i="13" s="1"/>
  <c r="J103" i="13"/>
  <c r="O532" i="13"/>
  <c r="P532" i="13" s="1"/>
  <c r="J532" i="13"/>
  <c r="J706" i="13"/>
  <c r="O706" i="13"/>
  <c r="P706" i="13" s="1"/>
  <c r="N693" i="13"/>
  <c r="J707" i="13"/>
  <c r="O707" i="13"/>
  <c r="P707" i="13" s="1"/>
  <c r="O704" i="13"/>
  <c r="P704" i="13" s="1"/>
  <c r="J704" i="13"/>
  <c r="E711" i="13"/>
  <c r="F711" i="13" s="1"/>
  <c r="D712" i="13" s="1"/>
  <c r="E738" i="20"/>
  <c r="F738" i="20" s="1"/>
  <c r="E469" i="20"/>
  <c r="F469" i="20" s="1"/>
  <c r="J275" i="13"/>
  <c r="O275" i="13"/>
  <c r="P275" i="13" s="1"/>
  <c r="I281" i="13"/>
  <c r="J281" i="13" s="1"/>
  <c r="N951" i="13"/>
  <c r="O966" i="13"/>
  <c r="P966" i="13" s="1"/>
  <c r="J966" i="13"/>
  <c r="J276" i="13"/>
  <c r="O276" i="13"/>
  <c r="P276" i="13" s="1"/>
  <c r="N263" i="13"/>
  <c r="O278" i="13"/>
  <c r="P278" i="13" s="1"/>
  <c r="J278" i="13"/>
  <c r="I904" i="20"/>
  <c r="I112" i="20"/>
  <c r="N90" i="20"/>
  <c r="J876" i="13"/>
  <c r="O876" i="13"/>
  <c r="P876" i="13" s="1"/>
  <c r="I459" i="20"/>
  <c r="I1082" i="20"/>
  <c r="O192" i="13"/>
  <c r="P192" i="13" s="1"/>
  <c r="J192" i="13"/>
  <c r="O189" i="13"/>
  <c r="P189" i="13" s="1"/>
  <c r="J189" i="13"/>
  <c r="I637" i="20"/>
  <c r="O794" i="13"/>
  <c r="P794" i="13" s="1"/>
  <c r="J794" i="13"/>
  <c r="N1037" i="13"/>
  <c r="J1049" i="13"/>
  <c r="O1049" i="13"/>
  <c r="P1049" i="13" s="1"/>
  <c r="I285" i="20"/>
  <c r="N269" i="20"/>
  <c r="N270" i="20" s="1"/>
  <c r="J106" i="13"/>
  <c r="O106" i="13"/>
  <c r="P106" i="13" s="1"/>
  <c r="K41" i="32"/>
  <c r="D42" i="32" s="1"/>
  <c r="H41" i="32"/>
  <c r="I815" i="20"/>
  <c r="E1182" i="20"/>
  <c r="F1182" i="20" s="1"/>
  <c r="E1057" i="13"/>
  <c r="F1057" i="13" s="1"/>
  <c r="D1058" i="13" s="1"/>
  <c r="E1142" i="13"/>
  <c r="F1142" i="13" s="1"/>
  <c r="E293" i="20"/>
  <c r="F293" i="20" s="1"/>
  <c r="E381" i="20"/>
  <c r="F381" i="20" s="1"/>
  <c r="E827" i="20"/>
  <c r="F827" i="20" s="1"/>
  <c r="E648" i="20"/>
  <c r="F648" i="20" s="1"/>
  <c r="E560" i="20"/>
  <c r="F560" i="20" s="1"/>
  <c r="K42" i="49"/>
  <c r="D43" i="49" s="1"/>
  <c r="H42" i="49"/>
  <c r="J618" i="13"/>
  <c r="O618" i="13"/>
  <c r="P618" i="13" s="1"/>
  <c r="N447" i="20"/>
  <c r="N448" i="20" s="1"/>
  <c r="I462" i="20"/>
  <c r="I1083" i="20"/>
  <c r="N1070" i="20"/>
  <c r="N1071" i="20" s="1"/>
  <c r="N625" i="20"/>
  <c r="N626" i="20" s="1"/>
  <c r="I639" i="20"/>
  <c r="J792" i="13"/>
  <c r="O792" i="13"/>
  <c r="P792" i="13" s="1"/>
  <c r="O447" i="13"/>
  <c r="P447" i="13" s="1"/>
  <c r="J447" i="13"/>
  <c r="I281" i="20"/>
  <c r="J105" i="13"/>
  <c r="O105" i="13"/>
  <c r="P105" i="13" s="1"/>
  <c r="J360" i="13"/>
  <c r="O360" i="13"/>
  <c r="P360" i="13" s="1"/>
  <c r="N536" i="20"/>
  <c r="N537" i="20" s="1"/>
  <c r="I550" i="20"/>
  <c r="E915" i="20"/>
  <c r="F915" i="20" s="1"/>
  <c r="E366" i="13"/>
  <c r="F366" i="13" s="1"/>
  <c r="E1229" i="13"/>
  <c r="F1229" i="13" s="1"/>
  <c r="J274" i="13"/>
  <c r="O274" i="13"/>
  <c r="P274" i="13" s="1"/>
  <c r="J277" i="13"/>
  <c r="O277" i="13"/>
  <c r="P277" i="13" s="1"/>
  <c r="I102" i="20"/>
  <c r="I729" i="20"/>
  <c r="N714" i="20"/>
  <c r="N715" i="20" s="1"/>
  <c r="G453" i="13"/>
  <c r="J1134" i="13"/>
  <c r="O1134" i="13"/>
  <c r="P1134" i="13" s="1"/>
  <c r="N1123" i="13"/>
  <c r="I1171" i="20"/>
  <c r="N1159" i="20"/>
  <c r="N1160" i="20" s="1"/>
  <c r="I997" i="20"/>
  <c r="N981" i="20"/>
  <c r="N982" i="20" s="1"/>
  <c r="I993" i="20"/>
  <c r="J194" i="13"/>
  <c r="O194" i="13"/>
  <c r="P194" i="13" s="1"/>
  <c r="J188" i="13"/>
  <c r="O190" i="13"/>
  <c r="P190" i="13" s="1"/>
  <c r="J190" i="13"/>
  <c r="O790" i="13"/>
  <c r="P790" i="13" s="1"/>
  <c r="J790" i="13"/>
  <c r="O793" i="13"/>
  <c r="P793" i="13" s="1"/>
  <c r="J793" i="13"/>
  <c r="N435" i="13"/>
  <c r="O449" i="13"/>
  <c r="P449" i="13" s="1"/>
  <c r="J449" i="13"/>
  <c r="J1048" i="13"/>
  <c r="C77" i="11"/>
  <c r="A77" i="11"/>
  <c r="A78" i="11" s="1"/>
  <c r="J104" i="13"/>
  <c r="O104" i="13"/>
  <c r="P104" i="13" s="1"/>
  <c r="J107" i="13"/>
  <c r="O107" i="13"/>
  <c r="P107" i="13" s="1"/>
  <c r="O364" i="13"/>
  <c r="P364" i="13" s="1"/>
  <c r="J364" i="13"/>
  <c r="O361" i="13"/>
  <c r="P361" i="13" s="1"/>
  <c r="J361" i="13"/>
  <c r="J363" i="13"/>
  <c r="O363" i="13"/>
  <c r="P363" i="13" s="1"/>
  <c r="D1006" i="20"/>
  <c r="G1005" i="20"/>
  <c r="I548" i="20"/>
  <c r="I192" i="20"/>
  <c r="I199" i="20"/>
  <c r="N180" i="20"/>
  <c r="N181" i="20" s="1"/>
  <c r="N358" i="20"/>
  <c r="N359" i="20" s="1"/>
  <c r="I374" i="20"/>
  <c r="O534" i="13"/>
  <c r="P534" i="13" s="1"/>
  <c r="J534" i="13"/>
  <c r="N521" i="13"/>
  <c r="J533" i="13"/>
  <c r="O533" i="13"/>
  <c r="P533" i="13" s="1"/>
  <c r="I282" i="13" l="1"/>
  <c r="H1318" i="13"/>
  <c r="J1318" i="13" s="1"/>
  <c r="G1319" i="13"/>
  <c r="I1319" i="13" s="1"/>
  <c r="H1319" i="13"/>
  <c r="E1320" i="13"/>
  <c r="F1320" i="13" s="1"/>
  <c r="F45" i="47"/>
  <c r="K42" i="47"/>
  <c r="D43" i="47" s="1"/>
  <c r="H42" i="47"/>
  <c r="J365" i="13"/>
  <c r="O365" i="13"/>
  <c r="P365" i="13" s="1"/>
  <c r="J795" i="13"/>
  <c r="O795" i="13"/>
  <c r="P795" i="13" s="1"/>
  <c r="J108" i="13"/>
  <c r="I1094" i="20"/>
  <c r="F1095" i="20"/>
  <c r="G1095" i="20" s="1"/>
  <c r="F283" i="13"/>
  <c r="D284" i="13" s="1"/>
  <c r="E284" i="13" s="1"/>
  <c r="F284" i="13" s="1"/>
  <c r="G1057" i="13"/>
  <c r="I1057" i="13" s="1"/>
  <c r="J282" i="13"/>
  <c r="D739" i="20"/>
  <c r="E739" i="20" s="1"/>
  <c r="F739" i="20" s="1"/>
  <c r="G738" i="20"/>
  <c r="H738" i="20"/>
  <c r="I195" i="13"/>
  <c r="O195" i="13" s="1"/>
  <c r="P195" i="13" s="1"/>
  <c r="I113" i="20"/>
  <c r="D828" i="20"/>
  <c r="H827" i="20"/>
  <c r="G827" i="20"/>
  <c r="D367" i="13"/>
  <c r="G366" i="13"/>
  <c r="D382" i="20"/>
  <c r="H381" i="20"/>
  <c r="G381" i="20"/>
  <c r="D1230" i="13"/>
  <c r="G1229" i="13"/>
  <c r="D916" i="20"/>
  <c r="H915" i="20"/>
  <c r="G915" i="20"/>
  <c r="D294" i="20"/>
  <c r="H293" i="20"/>
  <c r="G293" i="20"/>
  <c r="D197" i="13"/>
  <c r="G196" i="13"/>
  <c r="D470" i="20"/>
  <c r="H469" i="20"/>
  <c r="G469" i="20"/>
  <c r="D649" i="20"/>
  <c r="H648" i="20"/>
  <c r="G648" i="20"/>
  <c r="D1143" i="13"/>
  <c r="G1142" i="13"/>
  <c r="D1183" i="20"/>
  <c r="H1182" i="20"/>
  <c r="G1182" i="20"/>
  <c r="D884" i="13"/>
  <c r="G883" i="13"/>
  <c r="A79" i="11"/>
  <c r="C78" i="11"/>
  <c r="E455" i="13"/>
  <c r="F455" i="13" s="1"/>
  <c r="D456" i="13" s="1"/>
  <c r="K43" i="49"/>
  <c r="D44" i="49" s="1"/>
  <c r="H43" i="49"/>
  <c r="E1058" i="13"/>
  <c r="F1058" i="13" s="1"/>
  <c r="K42" i="32"/>
  <c r="D43" i="32" s="1"/>
  <c r="H42" i="32"/>
  <c r="O951" i="13"/>
  <c r="O952" i="13" s="1"/>
  <c r="N952" i="13"/>
  <c r="F46" i="32"/>
  <c r="N608" i="13"/>
  <c r="O607" i="13"/>
  <c r="O608" i="13" s="1"/>
  <c r="F48" i="49"/>
  <c r="H969" i="13"/>
  <c r="I969" i="13"/>
  <c r="A97" i="41"/>
  <c r="N866" i="13"/>
  <c r="O865" i="13"/>
  <c r="O866" i="13" s="1"/>
  <c r="E971" i="13"/>
  <c r="F971" i="13" s="1"/>
  <c r="D972" i="13" s="1"/>
  <c r="E110" i="13"/>
  <c r="F110" i="13" s="1"/>
  <c r="D111" i="13" s="1"/>
  <c r="E797" i="13"/>
  <c r="F797" i="13" s="1"/>
  <c r="D561" i="20"/>
  <c r="H560" i="20"/>
  <c r="D1096" i="20"/>
  <c r="E205" i="20"/>
  <c r="F205" i="20" s="1"/>
  <c r="D206" i="20" s="1"/>
  <c r="H796" i="13"/>
  <c r="I796" i="13"/>
  <c r="O796" i="13" s="1"/>
  <c r="O435" i="13"/>
  <c r="O436" i="13" s="1"/>
  <c r="N436" i="13"/>
  <c r="G560" i="20"/>
  <c r="N1038" i="13"/>
  <c r="O1037" i="13"/>
  <c r="O1038" i="13" s="1"/>
  <c r="N91" i="20"/>
  <c r="N26" i="20"/>
  <c r="O26" i="20" s="1"/>
  <c r="B95" i="2"/>
  <c r="E95" i="2"/>
  <c r="I1005" i="20"/>
  <c r="G970" i="13"/>
  <c r="E114" i="20"/>
  <c r="F114" i="20" s="1"/>
  <c r="D115" i="20" s="1"/>
  <c r="H623" i="13"/>
  <c r="I623" i="13"/>
  <c r="N264" i="13"/>
  <c r="O263" i="13"/>
  <c r="O264" i="13" s="1"/>
  <c r="E712" i="13"/>
  <c r="F712" i="13" s="1"/>
  <c r="H109" i="13"/>
  <c r="I109" i="13"/>
  <c r="E541" i="13"/>
  <c r="F541" i="13" s="1"/>
  <c r="N522" i="13"/>
  <c r="O521" i="13"/>
  <c r="O522" i="13" s="1"/>
  <c r="E1006" i="20"/>
  <c r="F1006" i="20" s="1"/>
  <c r="C79" i="11"/>
  <c r="O1123" i="13"/>
  <c r="O1124" i="13" s="1"/>
  <c r="N1124" i="13"/>
  <c r="H453" i="13"/>
  <c r="I453" i="13"/>
  <c r="G711" i="13"/>
  <c r="O693" i="13"/>
  <c r="O694" i="13" s="1"/>
  <c r="N694" i="13"/>
  <c r="N1211" i="13"/>
  <c r="O1210" i="13"/>
  <c r="O1211" i="13" s="1"/>
  <c r="G454" i="13"/>
  <c r="H540" i="13"/>
  <c r="I540" i="13"/>
  <c r="E624" i="13"/>
  <c r="F624" i="13" s="1"/>
  <c r="H1095" i="20" l="1"/>
  <c r="I1095" i="20" s="1"/>
  <c r="N779" i="13"/>
  <c r="N780" i="13" s="1"/>
  <c r="M796" i="13"/>
  <c r="P796" i="13" s="1"/>
  <c r="M779" i="13"/>
  <c r="M780" i="13" s="1"/>
  <c r="J1319" i="13"/>
  <c r="D1321" i="13"/>
  <c r="G1320" i="13"/>
  <c r="K43" i="47"/>
  <c r="D44" i="47" s="1"/>
  <c r="H43" i="47"/>
  <c r="F46" i="47"/>
  <c r="H1057" i="13"/>
  <c r="J1057" i="13" s="1"/>
  <c r="G283" i="13"/>
  <c r="H283" i="13" s="1"/>
  <c r="J195" i="13"/>
  <c r="I738" i="20"/>
  <c r="D285" i="13"/>
  <c r="E285" i="13" s="1"/>
  <c r="G284" i="13"/>
  <c r="H284" i="13" s="1"/>
  <c r="H205" i="20"/>
  <c r="G205" i="20"/>
  <c r="D625" i="13"/>
  <c r="G624" i="13"/>
  <c r="D713" i="13"/>
  <c r="G712" i="13"/>
  <c r="D740" i="20"/>
  <c r="G739" i="20"/>
  <c r="H739" i="20"/>
  <c r="D798" i="13"/>
  <c r="G797" i="13"/>
  <c r="D542" i="13"/>
  <c r="G541" i="13"/>
  <c r="D1007" i="20"/>
  <c r="G1006" i="20"/>
  <c r="H1006" i="20"/>
  <c r="D1059" i="13"/>
  <c r="G1058" i="13"/>
  <c r="E115" i="20"/>
  <c r="F115" i="20" s="1"/>
  <c r="E972" i="13"/>
  <c r="F972" i="13" s="1"/>
  <c r="I469" i="20"/>
  <c r="E367" i="13"/>
  <c r="F367" i="13" s="1"/>
  <c r="D368" i="13" s="1"/>
  <c r="J540" i="13"/>
  <c r="H711" i="13"/>
  <c r="I711" i="13"/>
  <c r="J453" i="13"/>
  <c r="J109" i="13"/>
  <c r="O109" i="13"/>
  <c r="H114" i="20"/>
  <c r="H970" i="13"/>
  <c r="I970" i="13"/>
  <c r="J796" i="13"/>
  <c r="E206" i="20"/>
  <c r="F206" i="20" s="1"/>
  <c r="E1096" i="20"/>
  <c r="F1096" i="20" s="1"/>
  <c r="A98" i="41"/>
  <c r="F49" i="49"/>
  <c r="F47" i="32"/>
  <c r="K43" i="32"/>
  <c r="D44" i="32" s="1"/>
  <c r="H43" i="32"/>
  <c r="H883" i="13"/>
  <c r="I883" i="13"/>
  <c r="E1183" i="20"/>
  <c r="F1183" i="20" s="1"/>
  <c r="I648" i="20"/>
  <c r="E470" i="20"/>
  <c r="F470" i="20" s="1"/>
  <c r="D471" i="20" s="1"/>
  <c r="I293" i="20"/>
  <c r="E916" i="20"/>
  <c r="F916" i="20" s="1"/>
  <c r="I381" i="20"/>
  <c r="H454" i="13"/>
  <c r="I454" i="13"/>
  <c r="E111" i="13"/>
  <c r="F111" i="13" s="1"/>
  <c r="M109" i="13"/>
  <c r="G114" i="20"/>
  <c r="J969" i="13"/>
  <c r="K44" i="49"/>
  <c r="D45" i="49" s="1"/>
  <c r="H44" i="49"/>
  <c r="G455" i="13"/>
  <c r="E884" i="13"/>
  <c r="F884" i="13" s="1"/>
  <c r="D885" i="13" s="1"/>
  <c r="H1142" i="13"/>
  <c r="I1142" i="13"/>
  <c r="E649" i="20"/>
  <c r="F649" i="20" s="1"/>
  <c r="H196" i="13"/>
  <c r="I196" i="13"/>
  <c r="O196" i="13" s="1"/>
  <c r="E294" i="20"/>
  <c r="F294" i="20" s="1"/>
  <c r="D295" i="20" s="1"/>
  <c r="H1229" i="13"/>
  <c r="I1229" i="13"/>
  <c r="E382" i="20"/>
  <c r="F382" i="20" s="1"/>
  <c r="D383" i="20" s="1"/>
  <c r="I827" i="20"/>
  <c r="E561" i="20"/>
  <c r="F561" i="20" s="1"/>
  <c r="E456" i="13"/>
  <c r="F456" i="13" s="1"/>
  <c r="A80" i="11"/>
  <c r="A82" i="11" s="1"/>
  <c r="C80" i="11"/>
  <c r="I1182" i="20"/>
  <c r="I915" i="20"/>
  <c r="J623" i="13"/>
  <c r="B98" i="2"/>
  <c r="B99" i="2" s="1"/>
  <c r="C48" i="11"/>
  <c r="I560" i="20"/>
  <c r="G110" i="13"/>
  <c r="G971" i="13"/>
  <c r="E1143" i="13"/>
  <c r="F1143" i="13" s="1"/>
  <c r="E197" i="13"/>
  <c r="F197" i="13" s="1"/>
  <c r="E1230" i="13"/>
  <c r="F1230" i="13" s="1"/>
  <c r="D1231" i="13" s="1"/>
  <c r="H366" i="13"/>
  <c r="I366" i="13"/>
  <c r="E828" i="20"/>
  <c r="F828" i="20" s="1"/>
  <c r="O366" i="13" l="1"/>
  <c r="N349" i="13"/>
  <c r="M366" i="13"/>
  <c r="M349" i="13"/>
  <c r="M350" i="13" s="1"/>
  <c r="O779" i="13"/>
  <c r="O780" i="13" s="1"/>
  <c r="I283" i="13"/>
  <c r="J283" i="13" s="1"/>
  <c r="H1320" i="13"/>
  <c r="I1320" i="13"/>
  <c r="G367" i="13"/>
  <c r="H367" i="13" s="1"/>
  <c r="E1321" i="13"/>
  <c r="F1321" i="13" s="1"/>
  <c r="F47" i="47"/>
  <c r="K44" i="47"/>
  <c r="D45" i="47" s="1"/>
  <c r="H44" i="47"/>
  <c r="M196" i="13"/>
  <c r="P196" i="13" s="1"/>
  <c r="D562" i="20"/>
  <c r="E562" i="20" s="1"/>
  <c r="F562" i="20" s="1"/>
  <c r="H561" i="20"/>
  <c r="G561" i="20"/>
  <c r="I284" i="13"/>
  <c r="J284" i="13" s="1"/>
  <c r="D650" i="20"/>
  <c r="E650" i="20" s="1"/>
  <c r="F650" i="20" s="1"/>
  <c r="G649" i="20"/>
  <c r="F285" i="13"/>
  <c r="D286" i="13" s="1"/>
  <c r="I205" i="20"/>
  <c r="D207" i="20"/>
  <c r="E207" i="20" s="1"/>
  <c r="F207" i="20" s="1"/>
  <c r="D208" i="20" s="1"/>
  <c r="H206" i="20"/>
  <c r="D973" i="13"/>
  <c r="E973" i="13" s="1"/>
  <c r="F973" i="13" s="1"/>
  <c r="D974" i="13" s="1"/>
  <c r="G972" i="13"/>
  <c r="I972" i="13" s="1"/>
  <c r="D116" i="20"/>
  <c r="E116" i="20" s="1"/>
  <c r="F116" i="20" s="1"/>
  <c r="G115" i="20"/>
  <c r="D1144" i="13"/>
  <c r="E1144" i="13" s="1"/>
  <c r="F1144" i="13" s="1"/>
  <c r="G1143" i="13"/>
  <c r="H1143" i="13" s="1"/>
  <c r="G382" i="20"/>
  <c r="D457" i="13"/>
  <c r="G456" i="13"/>
  <c r="D1184" i="20"/>
  <c r="G1183" i="20"/>
  <c r="H1183" i="20"/>
  <c r="D829" i="20"/>
  <c r="G828" i="20"/>
  <c r="H828" i="20"/>
  <c r="D1097" i="20"/>
  <c r="H1096" i="20"/>
  <c r="G1096" i="20"/>
  <c r="D198" i="13"/>
  <c r="G197" i="13"/>
  <c r="D112" i="13"/>
  <c r="G111" i="13"/>
  <c r="D917" i="20"/>
  <c r="G916" i="20"/>
  <c r="H916" i="20"/>
  <c r="E295" i="20"/>
  <c r="F295" i="20" s="1"/>
  <c r="D296" i="20" s="1"/>
  <c r="H624" i="13"/>
  <c r="I624" i="13"/>
  <c r="E383" i="20"/>
  <c r="F383" i="20" s="1"/>
  <c r="H294" i="20"/>
  <c r="J196" i="13"/>
  <c r="E885" i="13"/>
  <c r="F885" i="13" s="1"/>
  <c r="H455" i="13"/>
  <c r="I455" i="13"/>
  <c r="K44" i="32"/>
  <c r="D45" i="32" s="1"/>
  <c r="H44" i="32"/>
  <c r="G206" i="20"/>
  <c r="I114" i="20"/>
  <c r="H1058" i="13"/>
  <c r="I1058" i="13"/>
  <c r="E1007" i="20"/>
  <c r="F1007" i="20" s="1"/>
  <c r="E798" i="13"/>
  <c r="F798" i="13" s="1"/>
  <c r="D799" i="13" s="1"/>
  <c r="E625" i="13"/>
  <c r="F625" i="13" s="1"/>
  <c r="E1231" i="13"/>
  <c r="F1231" i="13" s="1"/>
  <c r="J883" i="13"/>
  <c r="F50" i="49"/>
  <c r="E740" i="20"/>
  <c r="F740" i="20" s="1"/>
  <c r="B100" i="2"/>
  <c r="B101" i="2" s="1"/>
  <c r="B102" i="2" s="1"/>
  <c r="B103" i="2" s="1"/>
  <c r="B104" i="2" s="1"/>
  <c r="E104" i="2"/>
  <c r="G294" i="20"/>
  <c r="G884" i="13"/>
  <c r="H470" i="20"/>
  <c r="F48" i="32"/>
  <c r="A99" i="41"/>
  <c r="A100" i="41" s="1"/>
  <c r="E368" i="13"/>
  <c r="F368" i="13" s="1"/>
  <c r="E1059" i="13"/>
  <c r="F1059" i="13" s="1"/>
  <c r="D1060" i="13" s="1"/>
  <c r="H541" i="13"/>
  <c r="I541" i="13"/>
  <c r="I739" i="20"/>
  <c r="H712" i="13"/>
  <c r="I712" i="13"/>
  <c r="J366" i="13"/>
  <c r="H110" i="13"/>
  <c r="I110" i="13"/>
  <c r="E471" i="20"/>
  <c r="F471" i="20" s="1"/>
  <c r="H797" i="13"/>
  <c r="I797" i="13"/>
  <c r="G1230" i="13"/>
  <c r="H971" i="13"/>
  <c r="I971" i="13"/>
  <c r="E286" i="13"/>
  <c r="F286" i="13" s="1"/>
  <c r="D287" i="13" s="1"/>
  <c r="H382" i="20"/>
  <c r="J1229" i="13"/>
  <c r="H649" i="20"/>
  <c r="J1142" i="13"/>
  <c r="K45" i="49"/>
  <c r="D46" i="49" s="1"/>
  <c r="H45" i="49"/>
  <c r="J454" i="13"/>
  <c r="G470" i="20"/>
  <c r="J970" i="13"/>
  <c r="P109" i="13"/>
  <c r="J711" i="13"/>
  <c r="H115" i="20"/>
  <c r="I1006" i="20"/>
  <c r="E542" i="13"/>
  <c r="F542" i="13" s="1"/>
  <c r="E713" i="13"/>
  <c r="F713" i="13" s="1"/>
  <c r="N350" i="13" l="1"/>
  <c r="O349" i="13"/>
  <c r="O350" i="13" s="1"/>
  <c r="P366" i="13"/>
  <c r="J1320" i="13"/>
  <c r="I367" i="13"/>
  <c r="J367" i="13" s="1"/>
  <c r="D1322" i="13"/>
  <c r="G1321" i="13"/>
  <c r="K45" i="47"/>
  <c r="D46" i="47" s="1"/>
  <c r="H45" i="47"/>
  <c r="F48" i="47"/>
  <c r="I206" i="20"/>
  <c r="I561" i="20"/>
  <c r="H972" i="13"/>
  <c r="J972" i="13" s="1"/>
  <c r="G285" i="13"/>
  <c r="I115" i="20"/>
  <c r="G207" i="20"/>
  <c r="I1143" i="13"/>
  <c r="J1143" i="13" s="1"/>
  <c r="J712" i="13"/>
  <c r="D543" i="13"/>
  <c r="G542" i="13"/>
  <c r="D886" i="13"/>
  <c r="G885" i="13"/>
  <c r="D563" i="20"/>
  <c r="H562" i="20"/>
  <c r="G562" i="20"/>
  <c r="D1145" i="13"/>
  <c r="G1144" i="13"/>
  <c r="D384" i="20"/>
  <c r="H383" i="20"/>
  <c r="G383" i="20"/>
  <c r="D651" i="20"/>
  <c r="H650" i="20"/>
  <c r="G650" i="20"/>
  <c r="D741" i="20"/>
  <c r="G740" i="20"/>
  <c r="H740" i="20"/>
  <c r="D117" i="20"/>
  <c r="G116" i="20"/>
  <c r="H116" i="20"/>
  <c r="D472" i="20"/>
  <c r="G471" i="20"/>
  <c r="H471" i="20"/>
  <c r="D626" i="13"/>
  <c r="G625" i="13"/>
  <c r="D714" i="13"/>
  <c r="G713" i="13"/>
  <c r="D369" i="13"/>
  <c r="G368" i="13"/>
  <c r="D1232" i="13"/>
  <c r="G1231" i="13"/>
  <c r="D1008" i="20"/>
  <c r="H1007" i="20"/>
  <c r="G1007" i="20"/>
  <c r="J971" i="13"/>
  <c r="E1060" i="13"/>
  <c r="F1060" i="13" s="1"/>
  <c r="D1061" i="13" s="1"/>
  <c r="A101" i="41"/>
  <c r="B103" i="41"/>
  <c r="B101" i="41"/>
  <c r="H884" i="13"/>
  <c r="I884" i="13"/>
  <c r="E296" i="20"/>
  <c r="F296" i="20" s="1"/>
  <c r="D297" i="20" s="1"/>
  <c r="E917" i="20"/>
  <c r="F917" i="20" s="1"/>
  <c r="E198" i="13"/>
  <c r="F198" i="13" s="1"/>
  <c r="D199" i="13" s="1"/>
  <c r="I649" i="20"/>
  <c r="H1230" i="13"/>
  <c r="I1230" i="13"/>
  <c r="M110" i="13"/>
  <c r="B106" i="2"/>
  <c r="B108" i="2" s="1"/>
  <c r="B110" i="2" s="1"/>
  <c r="B112" i="2" s="1"/>
  <c r="B113" i="2" s="1"/>
  <c r="G798" i="13"/>
  <c r="J624" i="13"/>
  <c r="H295" i="20"/>
  <c r="H111" i="13"/>
  <c r="M111" i="13" s="1"/>
  <c r="I111" i="13"/>
  <c r="E1184" i="20"/>
  <c r="F1184" i="20" s="1"/>
  <c r="O110" i="13"/>
  <c r="J110" i="13"/>
  <c r="J541" i="13"/>
  <c r="E974" i="13"/>
  <c r="F974" i="13" s="1"/>
  <c r="I828" i="20"/>
  <c r="E208" i="20"/>
  <c r="F208" i="20" s="1"/>
  <c r="D209" i="20" s="1"/>
  <c r="F49" i="32"/>
  <c r="K45" i="32"/>
  <c r="D46" i="32" s="1"/>
  <c r="H45" i="32"/>
  <c r="I294" i="20"/>
  <c r="G295" i="20"/>
  <c r="I916" i="20"/>
  <c r="E112" i="13"/>
  <c r="F112" i="13" s="1"/>
  <c r="D113" i="13" s="1"/>
  <c r="I1096" i="20"/>
  <c r="E829" i="20"/>
  <c r="F829" i="20" s="1"/>
  <c r="H456" i="13"/>
  <c r="I456" i="13"/>
  <c r="I382" i="20"/>
  <c r="E799" i="13"/>
  <c r="F799" i="13" s="1"/>
  <c r="K46" i="49"/>
  <c r="D47" i="49" s="1"/>
  <c r="H46" i="49"/>
  <c r="E287" i="13"/>
  <c r="F287" i="13" s="1"/>
  <c r="J797" i="13"/>
  <c r="G973" i="13"/>
  <c r="G286" i="13"/>
  <c r="G1059" i="13"/>
  <c r="H207" i="20"/>
  <c r="B100" i="41"/>
  <c r="I470" i="20"/>
  <c r="J1058" i="13"/>
  <c r="J455" i="13"/>
  <c r="H197" i="13"/>
  <c r="I197" i="13"/>
  <c r="E1097" i="20"/>
  <c r="F1097" i="20" s="1"/>
  <c r="D1098" i="20" s="1"/>
  <c r="I1183" i="20"/>
  <c r="E457" i="13"/>
  <c r="F457" i="13" s="1"/>
  <c r="M197" i="13" l="1"/>
  <c r="M177" i="13"/>
  <c r="M178" i="13" s="1"/>
  <c r="O197" i="13"/>
  <c r="P197" i="13" s="1"/>
  <c r="N177" i="13"/>
  <c r="H1321" i="13"/>
  <c r="I1321" i="13"/>
  <c r="E1322" i="13"/>
  <c r="F1322" i="13"/>
  <c r="D1323" i="13" s="1"/>
  <c r="F49" i="47"/>
  <c r="K46" i="47"/>
  <c r="D47" i="47" s="1"/>
  <c r="H46" i="47"/>
  <c r="H285" i="13"/>
  <c r="I285" i="13"/>
  <c r="P110" i="13"/>
  <c r="D288" i="13"/>
  <c r="G287" i="13"/>
  <c r="D458" i="13"/>
  <c r="G457" i="13"/>
  <c r="D800" i="13"/>
  <c r="G799" i="13"/>
  <c r="D830" i="20"/>
  <c r="G829" i="20"/>
  <c r="H829" i="20"/>
  <c r="D918" i="20"/>
  <c r="G917" i="20"/>
  <c r="H917" i="20"/>
  <c r="D975" i="13"/>
  <c r="G974" i="13"/>
  <c r="D1185" i="20"/>
  <c r="H1184" i="20"/>
  <c r="G1184" i="20"/>
  <c r="E1098" i="20"/>
  <c r="F1098" i="20" s="1"/>
  <c r="D1099" i="20" s="1"/>
  <c r="F50" i="32"/>
  <c r="E1145" i="13"/>
  <c r="F1145" i="13" s="1"/>
  <c r="I207" i="20"/>
  <c r="K47" i="49"/>
  <c r="D48" i="49" s="1"/>
  <c r="H47" i="49"/>
  <c r="K46" i="32"/>
  <c r="D47" i="32" s="1"/>
  <c r="H46" i="32"/>
  <c r="J111" i="13"/>
  <c r="O111" i="13"/>
  <c r="P111" i="13" s="1"/>
  <c r="B114" i="2"/>
  <c r="B115" i="2" s="1"/>
  <c r="B116" i="2" s="1"/>
  <c r="B117" i="2" s="1"/>
  <c r="B118" i="2" s="1"/>
  <c r="B119" i="2" s="1"/>
  <c r="B120" i="2" s="1"/>
  <c r="B121" i="2" s="1"/>
  <c r="E121" i="2"/>
  <c r="H296" i="20"/>
  <c r="J884" i="13"/>
  <c r="A103" i="41"/>
  <c r="B104" i="41"/>
  <c r="E1232" i="13"/>
  <c r="F1232" i="13" s="1"/>
  <c r="D1233" i="13" s="1"/>
  <c r="H625" i="13"/>
  <c r="I625" i="13"/>
  <c r="E472" i="20"/>
  <c r="F472" i="20" s="1"/>
  <c r="D473" i="20" s="1"/>
  <c r="E117" i="20"/>
  <c r="F117" i="20" s="1"/>
  <c r="I383" i="20"/>
  <c r="E886" i="13"/>
  <c r="F886" i="13" s="1"/>
  <c r="E209" i="20"/>
  <c r="F209" i="20" s="1"/>
  <c r="J1230" i="13"/>
  <c r="E297" i="20"/>
  <c r="F297" i="20" s="1"/>
  <c r="D298" i="20" s="1"/>
  <c r="E1061" i="13"/>
  <c r="F1061" i="13" s="1"/>
  <c r="H1231" i="13"/>
  <c r="I1231" i="13"/>
  <c r="E741" i="20"/>
  <c r="F741" i="20" s="1"/>
  <c r="D742" i="20" s="1"/>
  <c r="H885" i="13"/>
  <c r="I885" i="13"/>
  <c r="H1097" i="20"/>
  <c r="J197" i="13"/>
  <c r="H1059" i="13"/>
  <c r="I1059" i="13"/>
  <c r="H286" i="13"/>
  <c r="I286" i="13"/>
  <c r="H973" i="13"/>
  <c r="I973" i="13"/>
  <c r="H208" i="20"/>
  <c r="H798" i="13"/>
  <c r="I798" i="13"/>
  <c r="G198" i="13"/>
  <c r="G296" i="20"/>
  <c r="G1060" i="13"/>
  <c r="I1007" i="20"/>
  <c r="H368" i="13"/>
  <c r="I368" i="13"/>
  <c r="H713" i="13"/>
  <c r="I713" i="13"/>
  <c r="E626" i="13"/>
  <c r="F626" i="13" s="1"/>
  <c r="D627" i="13" s="1"/>
  <c r="I740" i="20"/>
  <c r="I650" i="20"/>
  <c r="E384" i="20"/>
  <c r="F384" i="20" s="1"/>
  <c r="D385" i="20" s="1"/>
  <c r="I562" i="20"/>
  <c r="H542" i="13"/>
  <c r="I542" i="13"/>
  <c r="E113" i="13"/>
  <c r="F113" i="13" s="1"/>
  <c r="D114" i="13" s="1"/>
  <c r="E199" i="13"/>
  <c r="F199" i="13" s="1"/>
  <c r="G1097" i="20"/>
  <c r="J456" i="13"/>
  <c r="G112" i="13"/>
  <c r="G208" i="20"/>
  <c r="I295" i="20"/>
  <c r="E1008" i="20"/>
  <c r="F1008" i="20" s="1"/>
  <c r="E369" i="13"/>
  <c r="F369" i="13" s="1"/>
  <c r="E714" i="13"/>
  <c r="F714" i="13" s="1"/>
  <c r="D715" i="13" s="1"/>
  <c r="I471" i="20"/>
  <c r="I116" i="20"/>
  <c r="E651" i="20"/>
  <c r="F651" i="20" s="1"/>
  <c r="H1144" i="13"/>
  <c r="I1144" i="13"/>
  <c r="E563" i="20"/>
  <c r="F563" i="20" s="1"/>
  <c r="D564" i="20" s="1"/>
  <c r="E543" i="13"/>
  <c r="F543" i="13" s="1"/>
  <c r="O177" i="13" l="1"/>
  <c r="O178" i="13" s="1"/>
  <c r="N178" i="13"/>
  <c r="J1321" i="13"/>
  <c r="E1323" i="13"/>
  <c r="F1323" i="13" s="1"/>
  <c r="G1322" i="13"/>
  <c r="K47" i="47"/>
  <c r="D48" i="47" s="1"/>
  <c r="H47" i="47"/>
  <c r="F50" i="47"/>
  <c r="J285" i="13"/>
  <c r="J885" i="13"/>
  <c r="D1009" i="20"/>
  <c r="H1008" i="20"/>
  <c r="G1008" i="20"/>
  <c r="G626" i="13"/>
  <c r="H626" i="13" s="1"/>
  <c r="G297" i="20"/>
  <c r="D652" i="20"/>
  <c r="H651" i="20"/>
  <c r="G651" i="20"/>
  <c r="D887" i="13"/>
  <c r="G886" i="13"/>
  <c r="D210" i="20"/>
  <c r="G209" i="20"/>
  <c r="H209" i="20"/>
  <c r="D370" i="13"/>
  <c r="G369" i="13"/>
  <c r="D544" i="13"/>
  <c r="G543" i="13"/>
  <c r="D200" i="13"/>
  <c r="G199" i="13"/>
  <c r="D1062" i="13"/>
  <c r="G1061" i="13"/>
  <c r="D118" i="20"/>
  <c r="G117" i="20"/>
  <c r="H117" i="20"/>
  <c r="D1146" i="13"/>
  <c r="G1145" i="13"/>
  <c r="E385" i="20"/>
  <c r="F385" i="20" s="1"/>
  <c r="D386" i="20" s="1"/>
  <c r="J286" i="13"/>
  <c r="E742" i="20"/>
  <c r="F742" i="20" s="1"/>
  <c r="E1233" i="13"/>
  <c r="F1233" i="13" s="1"/>
  <c r="D1234" i="13" s="1"/>
  <c r="A104" i="41"/>
  <c r="E246" i="2"/>
  <c r="K48" i="49"/>
  <c r="D49" i="49" s="1"/>
  <c r="H48" i="49"/>
  <c r="H457" i="13"/>
  <c r="I457" i="13"/>
  <c r="J1144" i="13"/>
  <c r="E1009" i="20"/>
  <c r="F1009" i="20" s="1"/>
  <c r="H112" i="13"/>
  <c r="I112" i="13"/>
  <c r="H198" i="13"/>
  <c r="I198" i="13"/>
  <c r="E298" i="20"/>
  <c r="F298" i="20" s="1"/>
  <c r="H974" i="13"/>
  <c r="I974" i="13"/>
  <c r="E918" i="20"/>
  <c r="F918" i="20" s="1"/>
  <c r="D919" i="20" s="1"/>
  <c r="E830" i="20"/>
  <c r="F830" i="20" s="1"/>
  <c r="D831" i="20" s="1"/>
  <c r="E458" i="13"/>
  <c r="F458" i="13" s="1"/>
  <c r="E564" i="20"/>
  <c r="F564" i="20" s="1"/>
  <c r="J713" i="13"/>
  <c r="E473" i="20"/>
  <c r="F473" i="20" s="1"/>
  <c r="E1099" i="20"/>
  <c r="F1099" i="20" s="1"/>
  <c r="E1185" i="20"/>
  <c r="F1185" i="20" s="1"/>
  <c r="H563" i="20"/>
  <c r="G563" i="20"/>
  <c r="G714" i="13"/>
  <c r="G113" i="13"/>
  <c r="J542" i="13"/>
  <c r="H384" i="20"/>
  <c r="J368" i="13"/>
  <c r="H1060" i="13"/>
  <c r="I1060" i="13"/>
  <c r="J973" i="13"/>
  <c r="J1059" i="13"/>
  <c r="I1097" i="20"/>
  <c r="H741" i="20"/>
  <c r="J1231" i="13"/>
  <c r="H472" i="20"/>
  <c r="J625" i="13"/>
  <c r="G1232" i="13"/>
  <c r="B123" i="2"/>
  <c r="D125" i="2"/>
  <c r="K47" i="32"/>
  <c r="D48" i="32" s="1"/>
  <c r="H47" i="32"/>
  <c r="H1098" i="20"/>
  <c r="E975" i="13"/>
  <c r="F975" i="13" s="1"/>
  <c r="D976" i="13" s="1"/>
  <c r="H799" i="13"/>
  <c r="I799" i="13"/>
  <c r="H287" i="13"/>
  <c r="I287" i="13"/>
  <c r="E715" i="13"/>
  <c r="F715" i="13" s="1"/>
  <c r="E114" i="13"/>
  <c r="F114" i="13" s="1"/>
  <c r="G384" i="20"/>
  <c r="E627" i="13"/>
  <c r="F627" i="13" s="1"/>
  <c r="J798" i="13"/>
  <c r="I208" i="20"/>
  <c r="G741" i="20"/>
  <c r="H297" i="20"/>
  <c r="G472" i="20"/>
  <c r="I296" i="20"/>
  <c r="G1098" i="20"/>
  <c r="I1184" i="20"/>
  <c r="I917" i="20"/>
  <c r="I829" i="20"/>
  <c r="E800" i="13"/>
  <c r="F800" i="13" s="1"/>
  <c r="E288" i="13"/>
  <c r="F288" i="13" s="1"/>
  <c r="D289" i="13" s="1"/>
  <c r="D1324" i="13" l="1"/>
  <c r="G1323" i="13"/>
  <c r="I1323" i="13" s="1"/>
  <c r="I297" i="20"/>
  <c r="E1324" i="13"/>
  <c r="F1324" i="13" s="1"/>
  <c r="D1325" i="13" s="1"/>
  <c r="H1322" i="13"/>
  <c r="I1322" i="13"/>
  <c r="K48" i="47"/>
  <c r="D49" i="47" s="1"/>
  <c r="H48" i="47"/>
  <c r="I1008" i="20"/>
  <c r="D1010" i="20"/>
  <c r="E1010" i="20" s="1"/>
  <c r="G1009" i="20"/>
  <c r="H1009" i="20"/>
  <c r="D565" i="20"/>
  <c r="E565" i="20" s="1"/>
  <c r="G564" i="20"/>
  <c r="I626" i="13"/>
  <c r="J626" i="13" s="1"/>
  <c r="J799" i="13"/>
  <c r="J1060" i="13"/>
  <c r="J287" i="13"/>
  <c r="J974" i="13"/>
  <c r="J457" i="13"/>
  <c r="D716" i="13"/>
  <c r="G715" i="13"/>
  <c r="D801" i="13"/>
  <c r="G800" i="13"/>
  <c r="D115" i="13"/>
  <c r="G114" i="13"/>
  <c r="D1100" i="20"/>
  <c r="G1099" i="20"/>
  <c r="H1099" i="20"/>
  <c r="D628" i="13"/>
  <c r="G627" i="13"/>
  <c r="D459" i="13"/>
  <c r="G458" i="13"/>
  <c r="D1186" i="20"/>
  <c r="G1185" i="20"/>
  <c r="H1185" i="20"/>
  <c r="D474" i="20"/>
  <c r="G473" i="20"/>
  <c r="H473" i="20"/>
  <c r="D299" i="20"/>
  <c r="G298" i="20"/>
  <c r="H298" i="20"/>
  <c r="D743" i="20"/>
  <c r="H742" i="20"/>
  <c r="G742" i="20"/>
  <c r="I563" i="20"/>
  <c r="E831" i="20"/>
  <c r="F831" i="20" s="1"/>
  <c r="I117" i="20"/>
  <c r="E1062" i="13"/>
  <c r="F1062" i="13" s="1"/>
  <c r="D1063" i="13" s="1"/>
  <c r="E544" i="13"/>
  <c r="F544" i="13" s="1"/>
  <c r="D545" i="13" s="1"/>
  <c r="G975" i="13"/>
  <c r="K48" i="32"/>
  <c r="D49" i="32" s="1"/>
  <c r="H48" i="32"/>
  <c r="H1232" i="13"/>
  <c r="I1232" i="13"/>
  <c r="I384" i="20"/>
  <c r="H714" i="13"/>
  <c r="I714" i="13"/>
  <c r="K49" i="49"/>
  <c r="D50" i="49" s="1"/>
  <c r="H49" i="49"/>
  <c r="H199" i="13"/>
  <c r="I199" i="13"/>
  <c r="H369" i="13"/>
  <c r="I369" i="13"/>
  <c r="E210" i="20"/>
  <c r="F210" i="20" s="1"/>
  <c r="E289" i="13"/>
  <c r="F289" i="13" s="1"/>
  <c r="E919" i="20"/>
  <c r="F919" i="20" s="1"/>
  <c r="G288" i="13"/>
  <c r="I741" i="20"/>
  <c r="H830" i="20"/>
  <c r="H918" i="20"/>
  <c r="J198" i="13"/>
  <c r="J112" i="13"/>
  <c r="O112" i="13"/>
  <c r="G1233" i="13"/>
  <c r="H385" i="20"/>
  <c r="H1145" i="13"/>
  <c r="I1145" i="13"/>
  <c r="E118" i="20"/>
  <c r="F118" i="20" s="1"/>
  <c r="E200" i="13"/>
  <c r="F200" i="13" s="1"/>
  <c r="E370" i="13"/>
  <c r="F370" i="13" s="1"/>
  <c r="H886" i="13"/>
  <c r="I886" i="13"/>
  <c r="I651" i="20"/>
  <c r="E976" i="13"/>
  <c r="F976" i="13" s="1"/>
  <c r="D977" i="13" s="1"/>
  <c r="I472" i="20"/>
  <c r="H113" i="13"/>
  <c r="I113" i="13"/>
  <c r="E1234" i="13"/>
  <c r="F1234" i="13" s="1"/>
  <c r="D1235" i="13" s="1"/>
  <c r="E386" i="20"/>
  <c r="F386" i="20" s="1"/>
  <c r="D387" i="20" s="1"/>
  <c r="I1098" i="20"/>
  <c r="B125" i="2"/>
  <c r="D298" i="2"/>
  <c r="H564" i="20"/>
  <c r="G830" i="20"/>
  <c r="G918" i="20"/>
  <c r="M112" i="13"/>
  <c r="A105" i="41"/>
  <c r="B105" i="41"/>
  <c r="G385" i="20"/>
  <c r="E1146" i="13"/>
  <c r="F1146" i="13" s="1"/>
  <c r="D1147" i="13" s="1"/>
  <c r="H1061" i="13"/>
  <c r="I1061" i="13"/>
  <c r="H543" i="13"/>
  <c r="I543" i="13"/>
  <c r="I209" i="20"/>
  <c r="E887" i="13"/>
  <c r="F887" i="13" s="1"/>
  <c r="E652" i="20"/>
  <c r="F652" i="20" s="1"/>
  <c r="D653" i="20" s="1"/>
  <c r="H1323" i="13" l="1"/>
  <c r="J1323" i="13" s="1"/>
  <c r="J1322" i="13"/>
  <c r="E1325" i="13"/>
  <c r="F1325" i="13" s="1"/>
  <c r="F1010" i="20"/>
  <c r="D1011" i="20" s="1"/>
  <c r="E1011" i="20" s="1"/>
  <c r="F1011" i="20" s="1"/>
  <c r="D1012" i="20" s="1"/>
  <c r="G1324" i="13"/>
  <c r="K49" i="47"/>
  <c r="D50" i="47" s="1"/>
  <c r="H49" i="47"/>
  <c r="M113" i="13"/>
  <c r="O113" i="13"/>
  <c r="I564" i="20"/>
  <c r="I1009" i="20"/>
  <c r="I298" i="20"/>
  <c r="D888" i="13"/>
  <c r="E888" i="13" s="1"/>
  <c r="F888" i="13" s="1"/>
  <c r="G887" i="13"/>
  <c r="H887" i="13" s="1"/>
  <c r="D920" i="20"/>
  <c r="E920" i="20" s="1"/>
  <c r="F920" i="20" s="1"/>
  <c r="G919" i="20"/>
  <c r="H386" i="20"/>
  <c r="F565" i="20"/>
  <c r="D566" i="20" s="1"/>
  <c r="E566" i="20" s="1"/>
  <c r="F566" i="20" s="1"/>
  <c r="G386" i="20"/>
  <c r="I742" i="20"/>
  <c r="J113" i="13"/>
  <c r="J199" i="13"/>
  <c r="I473" i="20"/>
  <c r="P112" i="13"/>
  <c r="D832" i="20"/>
  <c r="H831" i="20"/>
  <c r="G831" i="20"/>
  <c r="D211" i="20"/>
  <c r="H210" i="20"/>
  <c r="G210" i="20"/>
  <c r="D371" i="13"/>
  <c r="G370" i="13"/>
  <c r="D290" i="13"/>
  <c r="G289" i="13"/>
  <c r="D201" i="13"/>
  <c r="G200" i="13"/>
  <c r="D119" i="20"/>
  <c r="G118" i="20"/>
  <c r="H118" i="20"/>
  <c r="E299" i="20"/>
  <c r="F299" i="20" s="1"/>
  <c r="E743" i="20"/>
  <c r="F743" i="20" s="1"/>
  <c r="H627" i="13"/>
  <c r="I627" i="13"/>
  <c r="E1100" i="20"/>
  <c r="F1100" i="20" s="1"/>
  <c r="D1101" i="20" s="1"/>
  <c r="E801" i="13"/>
  <c r="F801" i="13" s="1"/>
  <c r="E1235" i="13"/>
  <c r="F1235" i="13" s="1"/>
  <c r="D1236" i="13" s="1"/>
  <c r="E977" i="13"/>
  <c r="F977" i="13" s="1"/>
  <c r="I830" i="20"/>
  <c r="G652" i="20"/>
  <c r="G1146" i="13"/>
  <c r="E387" i="20"/>
  <c r="F387" i="20" s="1"/>
  <c r="G1234" i="13"/>
  <c r="G976" i="13"/>
  <c r="J886" i="13"/>
  <c r="J1145" i="13"/>
  <c r="H288" i="13"/>
  <c r="I288" i="13"/>
  <c r="K49" i="32"/>
  <c r="D50" i="32" s="1"/>
  <c r="H49" i="32"/>
  <c r="G544" i="13"/>
  <c r="E1186" i="20"/>
  <c r="F1186" i="20" s="1"/>
  <c r="E628" i="13"/>
  <c r="F628" i="13" s="1"/>
  <c r="H114" i="13"/>
  <c r="M114" i="13" s="1"/>
  <c r="I114" i="13"/>
  <c r="O114" i="13" s="1"/>
  <c r="H715" i="13"/>
  <c r="I715" i="13"/>
  <c r="E653" i="20"/>
  <c r="F653" i="20" s="1"/>
  <c r="I385" i="20"/>
  <c r="I918" i="20"/>
  <c r="E545" i="13"/>
  <c r="F545" i="13" s="1"/>
  <c r="D546" i="13" s="1"/>
  <c r="E1063" i="13"/>
  <c r="F1063" i="13" s="1"/>
  <c r="I1185" i="20"/>
  <c r="E459" i="13"/>
  <c r="F459" i="13" s="1"/>
  <c r="H800" i="13"/>
  <c r="I800" i="13"/>
  <c r="H652" i="20"/>
  <c r="J543" i="13"/>
  <c r="E1147" i="13"/>
  <c r="F1147" i="13" s="1"/>
  <c r="H1233" i="13"/>
  <c r="I1233" i="13"/>
  <c r="K50" i="49"/>
  <c r="H50" i="49"/>
  <c r="H51" i="49" s="1"/>
  <c r="C28" i="20"/>
  <c r="B140" i="2"/>
  <c r="C28" i="13"/>
  <c r="J1061" i="13"/>
  <c r="H919" i="20"/>
  <c r="J369" i="13"/>
  <c r="J714" i="13"/>
  <c r="J1232" i="13"/>
  <c r="H975" i="13"/>
  <c r="I975" i="13"/>
  <c r="G1062" i="13"/>
  <c r="E474" i="20"/>
  <c r="F474" i="20" s="1"/>
  <c r="H458" i="13"/>
  <c r="I458" i="13"/>
  <c r="I1099" i="20"/>
  <c r="E115" i="13"/>
  <c r="F115" i="13" s="1"/>
  <c r="D116" i="13" s="1"/>
  <c r="E716" i="13"/>
  <c r="F716" i="13" s="1"/>
  <c r="D717" i="13" s="1"/>
  <c r="M91" i="13" l="1"/>
  <c r="N22" i="13" s="1"/>
  <c r="G27" i="2" s="1"/>
  <c r="L27" i="2" s="1"/>
  <c r="P114" i="13"/>
  <c r="N91" i="13"/>
  <c r="O22" i="13" s="1"/>
  <c r="O23" i="13" s="1"/>
  <c r="D1326" i="13"/>
  <c r="G1325" i="13"/>
  <c r="G1010" i="20"/>
  <c r="H1010" i="20"/>
  <c r="I1324" i="13"/>
  <c r="H1324" i="13"/>
  <c r="K50" i="47"/>
  <c r="H50" i="47"/>
  <c r="H51" i="47" s="1"/>
  <c r="P113" i="13"/>
  <c r="I887" i="13"/>
  <c r="J887" i="13" s="1"/>
  <c r="H565" i="20"/>
  <c r="I919" i="20"/>
  <c r="D802" i="13"/>
  <c r="E802" i="13" s="1"/>
  <c r="F802" i="13" s="1"/>
  <c r="G801" i="13"/>
  <c r="I801" i="13" s="1"/>
  <c r="D300" i="20"/>
  <c r="E300" i="20" s="1"/>
  <c r="F300" i="20" s="1"/>
  <c r="D301" i="20" s="1"/>
  <c r="G299" i="20"/>
  <c r="H299" i="20"/>
  <c r="D889" i="13"/>
  <c r="E889" i="13" s="1"/>
  <c r="F889" i="13" s="1"/>
  <c r="D890" i="13" s="1"/>
  <c r="G888" i="13"/>
  <c r="I888" i="13" s="1"/>
  <c r="G716" i="13"/>
  <c r="I716" i="13" s="1"/>
  <c r="I386" i="20"/>
  <c r="G565" i="20"/>
  <c r="J627" i="13"/>
  <c r="J458" i="13"/>
  <c r="J1233" i="13"/>
  <c r="J114" i="13"/>
  <c r="J288" i="13"/>
  <c r="I118" i="20"/>
  <c r="D460" i="13"/>
  <c r="G459" i="13"/>
  <c r="D388" i="20"/>
  <c r="H387" i="20"/>
  <c r="G387" i="20"/>
  <c r="D1187" i="20"/>
  <c r="G1186" i="20"/>
  <c r="H1186" i="20"/>
  <c r="D978" i="13"/>
  <c r="G977" i="13"/>
  <c r="D921" i="20"/>
  <c r="G920" i="20"/>
  <c r="H920" i="20"/>
  <c r="D475" i="20"/>
  <c r="G474" i="20"/>
  <c r="H474" i="20"/>
  <c r="D1064" i="13"/>
  <c r="G1063" i="13"/>
  <c r="D629" i="13"/>
  <c r="G628" i="13"/>
  <c r="D1148" i="13"/>
  <c r="G1147" i="13"/>
  <c r="D654" i="20"/>
  <c r="H653" i="20"/>
  <c r="G653" i="20"/>
  <c r="D567" i="20"/>
  <c r="G566" i="20"/>
  <c r="H566" i="20"/>
  <c r="D744" i="20"/>
  <c r="G743" i="20"/>
  <c r="H743" i="20"/>
  <c r="K50" i="32"/>
  <c r="H50" i="32"/>
  <c r="H51" i="32" s="1"/>
  <c r="E1012" i="20"/>
  <c r="F1012" i="20" s="1"/>
  <c r="E201" i="13"/>
  <c r="F201" i="13" s="1"/>
  <c r="D202" i="13" s="1"/>
  <c r="E371" i="13"/>
  <c r="F371" i="13" s="1"/>
  <c r="E717" i="13"/>
  <c r="F717" i="13" s="1"/>
  <c r="G115" i="13"/>
  <c r="B141" i="2"/>
  <c r="B142" i="2" s="1"/>
  <c r="B143" i="2" s="1"/>
  <c r="B144" i="2" s="1"/>
  <c r="E546" i="13"/>
  <c r="F546" i="13" s="1"/>
  <c r="D547" i="13" s="1"/>
  <c r="H976" i="13"/>
  <c r="I976" i="13"/>
  <c r="H289" i="13"/>
  <c r="I289" i="13"/>
  <c r="E1236" i="13"/>
  <c r="F1236" i="13" s="1"/>
  <c r="D1237" i="13" s="1"/>
  <c r="E1101" i="20"/>
  <c r="F1101" i="20" s="1"/>
  <c r="D1102" i="20" s="1"/>
  <c r="H1062" i="13"/>
  <c r="I1062" i="13"/>
  <c r="I652" i="20"/>
  <c r="H544" i="13"/>
  <c r="I544" i="13"/>
  <c r="H1234" i="13"/>
  <c r="I1234" i="13"/>
  <c r="H1011" i="20"/>
  <c r="G1235" i="13"/>
  <c r="H1100" i="20"/>
  <c r="E119" i="20"/>
  <c r="F119" i="20" s="1"/>
  <c r="E290" i="13"/>
  <c r="F290" i="13" s="1"/>
  <c r="D291" i="13" s="1"/>
  <c r="I210" i="20"/>
  <c r="I831" i="20"/>
  <c r="E116" i="13"/>
  <c r="F116" i="13" s="1"/>
  <c r="D117" i="13" s="1"/>
  <c r="J975" i="13"/>
  <c r="J800" i="13"/>
  <c r="G545" i="13"/>
  <c r="J715" i="13"/>
  <c r="H1146" i="13"/>
  <c r="I1146" i="13"/>
  <c r="G1011" i="20"/>
  <c r="G1100" i="20"/>
  <c r="H200" i="13"/>
  <c r="I200" i="13"/>
  <c r="H370" i="13"/>
  <c r="I370" i="13"/>
  <c r="E211" i="20"/>
  <c r="F211" i="20" s="1"/>
  <c r="E832" i="20"/>
  <c r="F832" i="20" s="1"/>
  <c r="M92" i="13" l="1"/>
  <c r="N23" i="13"/>
  <c r="P22" i="13"/>
  <c r="P23" i="13" s="1"/>
  <c r="L39" i="2" s="1"/>
  <c r="H888" i="13"/>
  <c r="J888" i="13" s="1"/>
  <c r="N92" i="13"/>
  <c r="O91" i="13"/>
  <c r="O92" i="13" s="1"/>
  <c r="I1010" i="20"/>
  <c r="H716" i="13"/>
  <c r="J716" i="13" s="1"/>
  <c r="I1325" i="13"/>
  <c r="H1325" i="13"/>
  <c r="J1324" i="13"/>
  <c r="E1326" i="13"/>
  <c r="F1326" i="13" s="1"/>
  <c r="I565" i="20"/>
  <c r="H801" i="13"/>
  <c r="J801" i="13" s="1"/>
  <c r="I299" i="20"/>
  <c r="D1013" i="20"/>
  <c r="E1013" i="20" s="1"/>
  <c r="F1013" i="20" s="1"/>
  <c r="G1012" i="20"/>
  <c r="D718" i="13"/>
  <c r="E718" i="13" s="1"/>
  <c r="F718" i="13" s="1"/>
  <c r="G717" i="13"/>
  <c r="H717" i="13" s="1"/>
  <c r="D372" i="13"/>
  <c r="E372" i="13" s="1"/>
  <c r="F372" i="13" s="1"/>
  <c r="G371" i="13"/>
  <c r="H371" i="13" s="1"/>
  <c r="H300" i="20"/>
  <c r="G300" i="20"/>
  <c r="J544" i="13"/>
  <c r="J289" i="13"/>
  <c r="I566" i="20"/>
  <c r="I474" i="20"/>
  <c r="G1101" i="20"/>
  <c r="G1236" i="13"/>
  <c r="I1236" i="13" s="1"/>
  <c r="I1186" i="20"/>
  <c r="I653" i="20"/>
  <c r="I387" i="20"/>
  <c r="I743" i="20"/>
  <c r="J1062" i="13"/>
  <c r="D833" i="20"/>
  <c r="G832" i="20"/>
  <c r="H832" i="20"/>
  <c r="D212" i="20"/>
  <c r="H211" i="20"/>
  <c r="G211" i="20"/>
  <c r="D120" i="20"/>
  <c r="H119" i="20"/>
  <c r="G119" i="20"/>
  <c r="D803" i="13"/>
  <c r="G802" i="13"/>
  <c r="E117" i="13"/>
  <c r="F117" i="13" s="1"/>
  <c r="E202" i="13"/>
  <c r="F202" i="13" s="1"/>
  <c r="H628" i="13"/>
  <c r="I628" i="13"/>
  <c r="H545" i="13"/>
  <c r="I545" i="13"/>
  <c r="G116" i="13"/>
  <c r="H1235" i="13"/>
  <c r="I1235" i="13"/>
  <c r="E1102" i="20"/>
  <c r="F1102" i="20" s="1"/>
  <c r="D1103" i="20" s="1"/>
  <c r="E1237" i="13"/>
  <c r="F1237" i="13" s="1"/>
  <c r="E547" i="13"/>
  <c r="F547" i="13" s="1"/>
  <c r="D548" i="13" s="1"/>
  <c r="G889" i="13"/>
  <c r="E654" i="20"/>
  <c r="F654" i="20" s="1"/>
  <c r="D655" i="20" s="1"/>
  <c r="E629" i="13"/>
  <c r="F629" i="13" s="1"/>
  <c r="E921" i="20"/>
  <c r="F921" i="20" s="1"/>
  <c r="E388" i="20"/>
  <c r="F388" i="20" s="1"/>
  <c r="D389" i="20" s="1"/>
  <c r="J370" i="13"/>
  <c r="I1100" i="20"/>
  <c r="H1236" i="13"/>
  <c r="E890" i="13"/>
  <c r="F890" i="13" s="1"/>
  <c r="D891" i="13" s="1"/>
  <c r="E291" i="13"/>
  <c r="F291" i="13" s="1"/>
  <c r="J200" i="13"/>
  <c r="J1146" i="13"/>
  <c r="G290" i="13"/>
  <c r="I1011" i="20"/>
  <c r="E567" i="20"/>
  <c r="F567" i="20" s="1"/>
  <c r="H1147" i="13"/>
  <c r="I1147" i="13"/>
  <c r="H1063" i="13"/>
  <c r="I1063" i="13"/>
  <c r="E475" i="20"/>
  <c r="F475" i="20" s="1"/>
  <c r="D476" i="20" s="1"/>
  <c r="H977" i="13"/>
  <c r="I977" i="13"/>
  <c r="E1187" i="20"/>
  <c r="F1187" i="20" s="1"/>
  <c r="H459" i="13"/>
  <c r="I459" i="13"/>
  <c r="B145" i="2"/>
  <c r="B146" i="2" s="1"/>
  <c r="E301" i="20"/>
  <c r="F301" i="20" s="1"/>
  <c r="D302" i="20" s="1"/>
  <c r="J1234" i="13"/>
  <c r="H1101" i="20"/>
  <c r="J976" i="13"/>
  <c r="G546" i="13"/>
  <c r="E145" i="2"/>
  <c r="H115" i="13"/>
  <c r="I115" i="13"/>
  <c r="G201" i="13"/>
  <c r="H1012" i="20"/>
  <c r="E744" i="20"/>
  <c r="F744" i="20" s="1"/>
  <c r="E1148" i="13"/>
  <c r="F1148" i="13" s="1"/>
  <c r="E1064" i="13"/>
  <c r="F1064" i="13" s="1"/>
  <c r="I920" i="20"/>
  <c r="E978" i="13"/>
  <c r="F978" i="13" s="1"/>
  <c r="E460" i="13"/>
  <c r="F460" i="13" s="1"/>
  <c r="D461" i="13" s="1"/>
  <c r="I371" i="13" l="1"/>
  <c r="J371" i="13" s="1"/>
  <c r="D1327" i="13"/>
  <c r="G1326" i="13"/>
  <c r="J1325" i="13"/>
  <c r="G890" i="13"/>
  <c r="I890" i="13" s="1"/>
  <c r="I1012" i="20"/>
  <c r="I300" i="20"/>
  <c r="I1101" i="20"/>
  <c r="D203" i="13"/>
  <c r="E203" i="13" s="1"/>
  <c r="F203" i="13" s="1"/>
  <c r="D204" i="13" s="1"/>
  <c r="G202" i="13"/>
  <c r="H202" i="13" s="1"/>
  <c r="I717" i="13"/>
  <c r="J717" i="13" s="1"/>
  <c r="J1147" i="13"/>
  <c r="J1236" i="13"/>
  <c r="I832" i="20"/>
  <c r="J977" i="13"/>
  <c r="J545" i="13"/>
  <c r="J1063" i="13"/>
  <c r="J459" i="13"/>
  <c r="J1235" i="13"/>
  <c r="I119" i="20"/>
  <c r="D1149" i="13"/>
  <c r="G1148" i="13"/>
  <c r="D373" i="13"/>
  <c r="G372" i="13"/>
  <c r="D118" i="13"/>
  <c r="G117" i="13"/>
  <c r="D979" i="13"/>
  <c r="G978" i="13"/>
  <c r="D292" i="13"/>
  <c r="G291" i="13"/>
  <c r="D1238" i="13"/>
  <c r="G1237" i="13"/>
  <c r="D1188" i="20"/>
  <c r="H1187" i="20"/>
  <c r="G1187" i="20"/>
  <c r="D630" i="13"/>
  <c r="G629" i="13"/>
  <c r="D745" i="20"/>
  <c r="G744" i="20"/>
  <c r="H744" i="20"/>
  <c r="D719" i="13"/>
  <c r="G718" i="13"/>
  <c r="D1065" i="13"/>
  <c r="G1064" i="13"/>
  <c r="D568" i="20"/>
  <c r="G567" i="20"/>
  <c r="H567" i="20"/>
  <c r="D922" i="20"/>
  <c r="G921" i="20"/>
  <c r="H921" i="20"/>
  <c r="D1014" i="20"/>
  <c r="G1013" i="20"/>
  <c r="H1013" i="20"/>
  <c r="E655" i="20"/>
  <c r="F655" i="20" s="1"/>
  <c r="E1103" i="20"/>
  <c r="F1103" i="20" s="1"/>
  <c r="G460" i="13"/>
  <c r="B147" i="2"/>
  <c r="E44" i="2"/>
  <c r="D293" i="2"/>
  <c r="H654" i="20"/>
  <c r="H802" i="13"/>
  <c r="I802" i="13"/>
  <c r="E120" i="20"/>
  <c r="F120" i="20" s="1"/>
  <c r="D121" i="20" s="1"/>
  <c r="E461" i="13"/>
  <c r="F461" i="13" s="1"/>
  <c r="D462" i="13" s="1"/>
  <c r="E476" i="20"/>
  <c r="F476" i="20" s="1"/>
  <c r="H890" i="13"/>
  <c r="H201" i="13"/>
  <c r="I201" i="13"/>
  <c r="H301" i="20"/>
  <c r="H475" i="20"/>
  <c r="E891" i="13"/>
  <c r="F891" i="13" s="1"/>
  <c r="D892" i="13" s="1"/>
  <c r="H388" i="20"/>
  <c r="G654" i="20"/>
  <c r="G547" i="13"/>
  <c r="H1102" i="20"/>
  <c r="E803" i="13"/>
  <c r="F803" i="13" s="1"/>
  <c r="E302" i="20"/>
  <c r="F302" i="20" s="1"/>
  <c r="E389" i="20"/>
  <c r="F389" i="20" s="1"/>
  <c r="E548" i="13"/>
  <c r="F548" i="13" s="1"/>
  <c r="D549" i="13" s="1"/>
  <c r="H116" i="13"/>
  <c r="I116" i="13"/>
  <c r="E212" i="20"/>
  <c r="F212" i="20" s="1"/>
  <c r="H546" i="13"/>
  <c r="I546" i="13"/>
  <c r="J115" i="13"/>
  <c r="G301" i="20"/>
  <c r="G475" i="20"/>
  <c r="H290" i="13"/>
  <c r="I290" i="13"/>
  <c r="G388" i="20"/>
  <c r="H889" i="13"/>
  <c r="I889" i="13"/>
  <c r="G1102" i="20"/>
  <c r="J628" i="13"/>
  <c r="I211" i="20"/>
  <c r="E833" i="20"/>
  <c r="F833" i="20" s="1"/>
  <c r="I202" i="13" l="1"/>
  <c r="H1326" i="13"/>
  <c r="I1326" i="13"/>
  <c r="E1327" i="13"/>
  <c r="F1327" i="13" s="1"/>
  <c r="D1328" i="13" s="1"/>
  <c r="D656" i="20"/>
  <c r="G655" i="20"/>
  <c r="D213" i="20"/>
  <c r="G212" i="20"/>
  <c r="D477" i="20"/>
  <c r="G476" i="20"/>
  <c r="J889" i="13"/>
  <c r="J546" i="13"/>
  <c r="J890" i="13"/>
  <c r="I567" i="20"/>
  <c r="J290" i="13"/>
  <c r="J202" i="13"/>
  <c r="I744" i="20"/>
  <c r="I921" i="20"/>
  <c r="D804" i="13"/>
  <c r="G803" i="13"/>
  <c r="D390" i="20"/>
  <c r="H389" i="20"/>
  <c r="G389" i="20"/>
  <c r="D834" i="20"/>
  <c r="G833" i="20"/>
  <c r="H833" i="20"/>
  <c r="D303" i="20"/>
  <c r="G302" i="20"/>
  <c r="H302" i="20"/>
  <c r="D1104" i="20"/>
  <c r="H1103" i="20"/>
  <c r="G1103" i="20"/>
  <c r="E204" i="13"/>
  <c r="F204" i="13" s="1"/>
  <c r="E462" i="13"/>
  <c r="F462" i="13" s="1"/>
  <c r="D463" i="13" s="1"/>
  <c r="H1064" i="13"/>
  <c r="I1064" i="13"/>
  <c r="H1237" i="13"/>
  <c r="I1237" i="13"/>
  <c r="E213" i="20"/>
  <c r="F213" i="20" s="1"/>
  <c r="I388" i="20"/>
  <c r="I475" i="20"/>
  <c r="E477" i="20"/>
  <c r="F477" i="20" s="1"/>
  <c r="D478" i="20" s="1"/>
  <c r="B148" i="2"/>
  <c r="E149" i="2"/>
  <c r="E656" i="20"/>
  <c r="F656" i="20" s="1"/>
  <c r="E1014" i="20"/>
  <c r="F1014" i="20" s="1"/>
  <c r="E1065" i="13"/>
  <c r="F1065" i="13" s="1"/>
  <c r="D1066" i="13" s="1"/>
  <c r="E1238" i="13"/>
  <c r="F1238" i="13" s="1"/>
  <c r="E979" i="13"/>
  <c r="F979" i="13" s="1"/>
  <c r="D980" i="13" s="1"/>
  <c r="E373" i="13"/>
  <c r="F373" i="13" s="1"/>
  <c r="D374" i="13" s="1"/>
  <c r="E922" i="20"/>
  <c r="F922" i="20" s="1"/>
  <c r="E630" i="13"/>
  <c r="F630" i="13" s="1"/>
  <c r="H978" i="13"/>
  <c r="I978" i="13"/>
  <c r="E549" i="13"/>
  <c r="F549" i="13" s="1"/>
  <c r="D550" i="13" s="1"/>
  <c r="I1102" i="20"/>
  <c r="I301" i="20"/>
  <c r="H120" i="20"/>
  <c r="J802" i="13"/>
  <c r="I654" i="20"/>
  <c r="H460" i="13"/>
  <c r="I460" i="13"/>
  <c r="H718" i="13"/>
  <c r="I718" i="13"/>
  <c r="E745" i="20"/>
  <c r="F745" i="20" s="1"/>
  <c r="I1187" i="20"/>
  <c r="H291" i="13"/>
  <c r="I291" i="13"/>
  <c r="H117" i="13"/>
  <c r="I117" i="13"/>
  <c r="H1148" i="13"/>
  <c r="I1148" i="13"/>
  <c r="E892" i="13"/>
  <c r="F892" i="13" s="1"/>
  <c r="E121" i="20"/>
  <c r="F121" i="20" s="1"/>
  <c r="H372" i="13"/>
  <c r="I372" i="13"/>
  <c r="H212" i="20"/>
  <c r="J116" i="13"/>
  <c r="G548" i="13"/>
  <c r="G203" i="13"/>
  <c r="H547" i="13"/>
  <c r="I547" i="13"/>
  <c r="G891" i="13"/>
  <c r="J201" i="13"/>
  <c r="H476" i="20"/>
  <c r="G461" i="13"/>
  <c r="G120" i="20"/>
  <c r="H655" i="20"/>
  <c r="I1013" i="20"/>
  <c r="E568" i="20"/>
  <c r="F568" i="20" s="1"/>
  <c r="E719" i="13"/>
  <c r="F719" i="13" s="1"/>
  <c r="D720" i="13" s="1"/>
  <c r="H629" i="13"/>
  <c r="I629" i="13"/>
  <c r="E1188" i="20"/>
  <c r="F1188" i="20" s="1"/>
  <c r="E292" i="13"/>
  <c r="F292" i="13" s="1"/>
  <c r="E118" i="13"/>
  <c r="F118" i="13" s="1"/>
  <c r="D119" i="13" s="1"/>
  <c r="E1149" i="13"/>
  <c r="F1149" i="13" s="1"/>
  <c r="D1150" i="13" s="1"/>
  <c r="I476" i="20" l="1"/>
  <c r="J1326" i="13"/>
  <c r="E1328" i="13"/>
  <c r="F1328" i="13" s="1"/>
  <c r="D1329" i="13" s="1"/>
  <c r="G1327" i="13"/>
  <c r="I655" i="20"/>
  <c r="I212" i="20"/>
  <c r="I1103" i="20"/>
  <c r="J1237" i="13"/>
  <c r="J1148" i="13"/>
  <c r="J291" i="13"/>
  <c r="I833" i="20"/>
  <c r="J629" i="13"/>
  <c r="J547" i="13"/>
  <c r="I389" i="20"/>
  <c r="J1064" i="13"/>
  <c r="I302" i="20"/>
  <c r="J460" i="13"/>
  <c r="D293" i="13"/>
  <c r="G292" i="13"/>
  <c r="D1189" i="20"/>
  <c r="G1188" i="20"/>
  <c r="H1188" i="20"/>
  <c r="D631" i="13"/>
  <c r="G630" i="13"/>
  <c r="D205" i="13"/>
  <c r="G204" i="13"/>
  <c r="D569" i="20"/>
  <c r="G568" i="20"/>
  <c r="H568" i="20"/>
  <c r="D122" i="20"/>
  <c r="G121" i="20"/>
  <c r="H121" i="20"/>
  <c r="D923" i="20"/>
  <c r="G922" i="20"/>
  <c r="H922" i="20"/>
  <c r="D1015" i="20"/>
  <c r="G1014" i="20"/>
  <c r="H1014" i="20"/>
  <c r="D214" i="20"/>
  <c r="H213" i="20"/>
  <c r="G213" i="20"/>
  <c r="D893" i="13"/>
  <c r="G892" i="13"/>
  <c r="D746" i="20"/>
  <c r="H745" i="20"/>
  <c r="G745" i="20"/>
  <c r="D1239" i="13"/>
  <c r="G1238" i="13"/>
  <c r="D657" i="20"/>
  <c r="H656" i="20"/>
  <c r="G656" i="20"/>
  <c r="E1150" i="13"/>
  <c r="F1150" i="13" s="1"/>
  <c r="D1151" i="13" s="1"/>
  <c r="H891" i="13"/>
  <c r="I891" i="13"/>
  <c r="E980" i="13"/>
  <c r="F980" i="13" s="1"/>
  <c r="E478" i="20"/>
  <c r="F478" i="20" s="1"/>
  <c r="E463" i="13"/>
  <c r="F463" i="13" s="1"/>
  <c r="E1104" i="20"/>
  <c r="F1104" i="20" s="1"/>
  <c r="G1149" i="13"/>
  <c r="H461" i="13"/>
  <c r="I461" i="13"/>
  <c r="I120" i="20"/>
  <c r="E1066" i="13"/>
  <c r="F1066" i="13" s="1"/>
  <c r="D1067" i="13" s="1"/>
  <c r="B149" i="2"/>
  <c r="D295" i="2"/>
  <c r="G462" i="13"/>
  <c r="E390" i="20"/>
  <c r="F390" i="20" s="1"/>
  <c r="D391" i="20" s="1"/>
  <c r="E119" i="13"/>
  <c r="F119" i="13" s="1"/>
  <c r="D120" i="13" s="1"/>
  <c r="E720" i="13"/>
  <c r="F720" i="13" s="1"/>
  <c r="H548" i="13"/>
  <c r="I548" i="13"/>
  <c r="E550" i="13"/>
  <c r="F550" i="13" s="1"/>
  <c r="E374" i="13"/>
  <c r="F374" i="13" s="1"/>
  <c r="J117" i="13"/>
  <c r="G549" i="13"/>
  <c r="G373" i="13"/>
  <c r="G1065" i="13"/>
  <c r="H477" i="20"/>
  <c r="E834" i="20"/>
  <c r="F834" i="20" s="1"/>
  <c r="D835" i="20" s="1"/>
  <c r="H803" i="13"/>
  <c r="I803" i="13"/>
  <c r="G118" i="13"/>
  <c r="G719" i="13"/>
  <c r="H203" i="13"/>
  <c r="I203" i="13"/>
  <c r="J372" i="13"/>
  <c r="J718" i="13"/>
  <c r="J978" i="13"/>
  <c r="G979" i="13"/>
  <c r="G477" i="20"/>
  <c r="E303" i="20"/>
  <c r="F303" i="20" s="1"/>
  <c r="E804" i="13"/>
  <c r="F804" i="13" s="1"/>
  <c r="G1328" i="13" l="1"/>
  <c r="H1328" i="13" s="1"/>
  <c r="I1327" i="13"/>
  <c r="H1327" i="13"/>
  <c r="E1329" i="13"/>
  <c r="F1329" i="13" s="1"/>
  <c r="D551" i="13"/>
  <c r="E551" i="13" s="1"/>
  <c r="F551" i="13" s="1"/>
  <c r="G550" i="13"/>
  <c r="J461" i="13"/>
  <c r="I745" i="20"/>
  <c r="J203" i="13"/>
  <c r="J803" i="13"/>
  <c r="I121" i="20"/>
  <c r="I477" i="20"/>
  <c r="I568" i="20"/>
  <c r="J891" i="13"/>
  <c r="I922" i="20"/>
  <c r="D721" i="13"/>
  <c r="G720" i="13"/>
  <c r="D981" i="13"/>
  <c r="G980" i="13"/>
  <c r="D375" i="13"/>
  <c r="G374" i="13"/>
  <c r="D1105" i="20"/>
  <c r="H1104" i="20"/>
  <c r="G1104" i="20"/>
  <c r="D479" i="20"/>
  <c r="G478" i="20"/>
  <c r="H478" i="20"/>
  <c r="D805" i="13"/>
  <c r="G804" i="13"/>
  <c r="D304" i="20"/>
  <c r="H303" i="20"/>
  <c r="G303" i="20"/>
  <c r="D464" i="13"/>
  <c r="G463" i="13"/>
  <c r="E1067" i="13"/>
  <c r="F1067" i="13" s="1"/>
  <c r="H549" i="13"/>
  <c r="I549" i="13"/>
  <c r="J548" i="13"/>
  <c r="H390" i="20"/>
  <c r="H462" i="13"/>
  <c r="I462" i="13"/>
  <c r="G1066" i="13"/>
  <c r="H1238" i="13"/>
  <c r="I1238" i="13"/>
  <c r="E746" i="20"/>
  <c r="F746" i="20" s="1"/>
  <c r="D747" i="20" s="1"/>
  <c r="I213" i="20"/>
  <c r="E1015" i="20"/>
  <c r="F1015" i="20" s="1"/>
  <c r="H630" i="13"/>
  <c r="I630" i="13"/>
  <c r="E1189" i="20"/>
  <c r="F1189" i="20" s="1"/>
  <c r="H979" i="13"/>
  <c r="I979" i="13"/>
  <c r="E835" i="20"/>
  <c r="F835" i="20" s="1"/>
  <c r="H550" i="13"/>
  <c r="I550" i="13"/>
  <c r="E391" i="20"/>
  <c r="F391" i="20" s="1"/>
  <c r="H834" i="20"/>
  <c r="G119" i="13"/>
  <c r="H1149" i="13"/>
  <c r="I1149" i="13"/>
  <c r="E1239" i="13"/>
  <c r="F1239" i="13" s="1"/>
  <c r="D1240" i="13" s="1"/>
  <c r="H892" i="13"/>
  <c r="I892" i="13"/>
  <c r="E214" i="20"/>
  <c r="F214" i="20" s="1"/>
  <c r="D215" i="20" s="1"/>
  <c r="E569" i="20"/>
  <c r="F569" i="20" s="1"/>
  <c r="D570" i="20" s="1"/>
  <c r="E631" i="13"/>
  <c r="F631" i="13" s="1"/>
  <c r="H292" i="13"/>
  <c r="I292" i="13"/>
  <c r="H373" i="13"/>
  <c r="I373" i="13"/>
  <c r="E120" i="13"/>
  <c r="F120" i="13" s="1"/>
  <c r="E1151" i="13"/>
  <c r="F1151" i="13" s="1"/>
  <c r="E657" i="20"/>
  <c r="F657" i="20" s="1"/>
  <c r="E923" i="20"/>
  <c r="F923" i="20" s="1"/>
  <c r="E205" i="13"/>
  <c r="F205" i="13" s="1"/>
  <c r="H719" i="13"/>
  <c r="I719" i="13"/>
  <c r="G390" i="20"/>
  <c r="H118" i="13"/>
  <c r="I118" i="13"/>
  <c r="G834" i="20"/>
  <c r="H1065" i="13"/>
  <c r="I1065" i="13"/>
  <c r="E113" i="2"/>
  <c r="D292" i="2"/>
  <c r="B151" i="2"/>
  <c r="G1150" i="13"/>
  <c r="I656" i="20"/>
  <c r="E893" i="13"/>
  <c r="F893" i="13" s="1"/>
  <c r="D894" i="13" s="1"/>
  <c r="I1014" i="20"/>
  <c r="E122" i="20"/>
  <c r="F122" i="20" s="1"/>
  <c r="D123" i="20" s="1"/>
  <c r="H204" i="13"/>
  <c r="I204" i="13"/>
  <c r="I1188" i="20"/>
  <c r="E293" i="13"/>
  <c r="F293" i="13" s="1"/>
  <c r="I1328" i="13" l="1"/>
  <c r="J1328" i="13" s="1"/>
  <c r="D1330" i="13"/>
  <c r="E1330" i="13" s="1"/>
  <c r="F1330" i="13" s="1"/>
  <c r="G1329" i="13"/>
  <c r="I1329" i="13" s="1"/>
  <c r="J1327" i="13"/>
  <c r="G122" i="20"/>
  <c r="G893" i="13"/>
  <c r="H893" i="13" s="1"/>
  <c r="G1239" i="13"/>
  <c r="H1239" i="13" s="1"/>
  <c r="I303" i="20"/>
  <c r="I1104" i="20"/>
  <c r="J118" i="13"/>
  <c r="J292" i="13"/>
  <c r="J979" i="13"/>
  <c r="J462" i="13"/>
  <c r="J549" i="13"/>
  <c r="J1238" i="13"/>
  <c r="J204" i="13"/>
  <c r="J719" i="13"/>
  <c r="I478" i="20"/>
  <c r="D552" i="13"/>
  <c r="G551" i="13"/>
  <c r="D1068" i="13"/>
  <c r="G1067" i="13"/>
  <c r="D1152" i="13"/>
  <c r="G1151" i="13"/>
  <c r="D294" i="13"/>
  <c r="G293" i="13"/>
  <c r="D206" i="13"/>
  <c r="G205" i="13"/>
  <c r="D121" i="13"/>
  <c r="G120" i="13"/>
  <c r="D392" i="20"/>
  <c r="G391" i="20"/>
  <c r="H391" i="20"/>
  <c r="D658" i="20"/>
  <c r="G657" i="20"/>
  <c r="H657" i="20"/>
  <c r="D1190" i="20"/>
  <c r="G1189" i="20"/>
  <c r="H1189" i="20"/>
  <c r="D836" i="20"/>
  <c r="G835" i="20"/>
  <c r="H835" i="20"/>
  <c r="D924" i="20"/>
  <c r="G923" i="20"/>
  <c r="H923" i="20"/>
  <c r="D632" i="13"/>
  <c r="G631" i="13"/>
  <c r="D1016" i="20"/>
  <c r="H1015" i="20"/>
  <c r="G1015" i="20"/>
  <c r="H1150" i="13"/>
  <c r="I1150" i="13"/>
  <c r="E215" i="20"/>
  <c r="F215" i="20" s="1"/>
  <c r="D216" i="20" s="1"/>
  <c r="E123" i="20"/>
  <c r="F123" i="20" s="1"/>
  <c r="D124" i="20" s="1"/>
  <c r="E894" i="13"/>
  <c r="F894" i="13" s="1"/>
  <c r="E1240" i="13"/>
  <c r="F1240" i="13" s="1"/>
  <c r="H119" i="13"/>
  <c r="I119" i="13"/>
  <c r="I834" i="20"/>
  <c r="H746" i="20"/>
  <c r="H463" i="13"/>
  <c r="I463" i="13"/>
  <c r="E304" i="20"/>
  <c r="F304" i="20" s="1"/>
  <c r="D305" i="20" s="1"/>
  <c r="E1105" i="20"/>
  <c r="F1105" i="20" s="1"/>
  <c r="D1106" i="20" s="1"/>
  <c r="E981" i="13"/>
  <c r="F981" i="13" s="1"/>
  <c r="D982" i="13" s="1"/>
  <c r="E747" i="20"/>
  <c r="F747" i="20" s="1"/>
  <c r="B152" i="2"/>
  <c r="J1065" i="13"/>
  <c r="H569" i="20"/>
  <c r="H214" i="20"/>
  <c r="J892" i="13"/>
  <c r="J550" i="13"/>
  <c r="J630" i="13"/>
  <c r="G746" i="20"/>
  <c r="I390" i="20"/>
  <c r="E464" i="13"/>
  <c r="F464" i="13" s="1"/>
  <c r="H804" i="13"/>
  <c r="I804" i="13"/>
  <c r="E479" i="20"/>
  <c r="F479" i="20" s="1"/>
  <c r="H374" i="13"/>
  <c r="I374" i="13"/>
  <c r="H720" i="13"/>
  <c r="I720" i="13"/>
  <c r="E570" i="20"/>
  <c r="F570" i="20" s="1"/>
  <c r="H980" i="13"/>
  <c r="I980" i="13"/>
  <c r="H122" i="20"/>
  <c r="J373" i="13"/>
  <c r="G569" i="20"/>
  <c r="G214" i="20"/>
  <c r="J1149" i="13"/>
  <c r="H1066" i="13"/>
  <c r="I1066" i="13"/>
  <c r="E805" i="13"/>
  <c r="F805" i="13" s="1"/>
  <c r="E375" i="13"/>
  <c r="F375" i="13" s="1"/>
  <c r="E721" i="13"/>
  <c r="F721" i="13" s="1"/>
  <c r="H1329" i="13" l="1"/>
  <c r="I893" i="13"/>
  <c r="J1329" i="13"/>
  <c r="D1331" i="13"/>
  <c r="G1330" i="13"/>
  <c r="I1239" i="13"/>
  <c r="J1239" i="13" s="1"/>
  <c r="I122" i="20"/>
  <c r="D571" i="20"/>
  <c r="E571" i="20" s="1"/>
  <c r="F571" i="20" s="1"/>
  <c r="G570" i="20"/>
  <c r="H570" i="20"/>
  <c r="D465" i="13"/>
  <c r="E465" i="13" s="1"/>
  <c r="F465" i="13" s="1"/>
  <c r="G464" i="13"/>
  <c r="H464" i="13" s="1"/>
  <c r="G981" i="13"/>
  <c r="H981" i="13" s="1"/>
  <c r="J893" i="13"/>
  <c r="J374" i="13"/>
  <c r="J804" i="13"/>
  <c r="J463" i="13"/>
  <c r="J119" i="13"/>
  <c r="J1150" i="13"/>
  <c r="I657" i="20"/>
  <c r="I214" i="20"/>
  <c r="I835" i="20"/>
  <c r="J980" i="13"/>
  <c r="J720" i="13"/>
  <c r="I923" i="20"/>
  <c r="I391" i="20"/>
  <c r="D748" i="20"/>
  <c r="G747" i="20"/>
  <c r="H747" i="20"/>
  <c r="D480" i="20"/>
  <c r="G479" i="20"/>
  <c r="H479" i="20"/>
  <c r="D376" i="13"/>
  <c r="G375" i="13"/>
  <c r="D1241" i="13"/>
  <c r="G1240" i="13"/>
  <c r="D806" i="13"/>
  <c r="G805" i="13"/>
  <c r="D895" i="13"/>
  <c r="G894" i="13"/>
  <c r="D722" i="13"/>
  <c r="G721" i="13"/>
  <c r="E1106" i="20"/>
  <c r="F1106" i="20" s="1"/>
  <c r="D1107" i="20" s="1"/>
  <c r="E216" i="20"/>
  <c r="F216" i="20" s="1"/>
  <c r="E658" i="20"/>
  <c r="F658" i="20" s="1"/>
  <c r="D659" i="20" s="1"/>
  <c r="H293" i="13"/>
  <c r="I293" i="13"/>
  <c r="I569" i="20"/>
  <c r="E982" i="13"/>
  <c r="F982" i="13" s="1"/>
  <c r="D983" i="13" s="1"/>
  <c r="I1015" i="20"/>
  <c r="E1190" i="20"/>
  <c r="F1190" i="20" s="1"/>
  <c r="E121" i="13"/>
  <c r="F121" i="13" s="1"/>
  <c r="D122" i="13" s="1"/>
  <c r="E294" i="13"/>
  <c r="F294" i="13" s="1"/>
  <c r="E1068" i="13"/>
  <c r="F1068" i="13" s="1"/>
  <c r="D1069" i="13" s="1"/>
  <c r="I746" i="20"/>
  <c r="E124" i="20"/>
  <c r="F124" i="20" s="1"/>
  <c r="D125" i="20" s="1"/>
  <c r="E632" i="13"/>
  <c r="F632" i="13" s="1"/>
  <c r="H1067" i="13"/>
  <c r="I1067" i="13"/>
  <c r="H1105" i="20"/>
  <c r="H304" i="20"/>
  <c r="H123" i="20"/>
  <c r="H215" i="20"/>
  <c r="E1016" i="20"/>
  <c r="F1016" i="20" s="1"/>
  <c r="E836" i="20"/>
  <c r="F836" i="20" s="1"/>
  <c r="H205" i="13"/>
  <c r="I205" i="13"/>
  <c r="H1151" i="13"/>
  <c r="I1151" i="13"/>
  <c r="H551" i="13"/>
  <c r="I551" i="13"/>
  <c r="E160" i="2"/>
  <c r="B153" i="2"/>
  <c r="B154" i="2" s="1"/>
  <c r="B155" i="2" s="1"/>
  <c r="B156" i="2" s="1"/>
  <c r="B157" i="2" s="1"/>
  <c r="B158" i="2" s="1"/>
  <c r="B159" i="2" s="1"/>
  <c r="E305" i="20"/>
  <c r="F305" i="20" s="1"/>
  <c r="H120" i="13"/>
  <c r="I120" i="13"/>
  <c r="J1066" i="13"/>
  <c r="E159" i="2"/>
  <c r="G1105" i="20"/>
  <c r="G304" i="20"/>
  <c r="G123" i="20"/>
  <c r="G215" i="20"/>
  <c r="H631" i="13"/>
  <c r="I631" i="13"/>
  <c r="E924" i="20"/>
  <c r="F924" i="20" s="1"/>
  <c r="I1189" i="20"/>
  <c r="E392" i="20"/>
  <c r="F392" i="20" s="1"/>
  <c r="D393" i="20" s="1"/>
  <c r="E206" i="13"/>
  <c r="F206" i="13" s="1"/>
  <c r="E1152" i="13"/>
  <c r="F1152" i="13" s="1"/>
  <c r="D1153" i="13" s="1"/>
  <c r="E552" i="13"/>
  <c r="F552" i="13" s="1"/>
  <c r="D553" i="13" s="1"/>
  <c r="H1330" i="13" l="1"/>
  <c r="I1330" i="13"/>
  <c r="E1331" i="13"/>
  <c r="F1331" i="13"/>
  <c r="D1332" i="13" s="1"/>
  <c r="I464" i="13"/>
  <c r="J464" i="13" s="1"/>
  <c r="I981" i="13"/>
  <c r="J981" i="13" s="1"/>
  <c r="G1106" i="20"/>
  <c r="I570" i="20"/>
  <c r="D306" i="20"/>
  <c r="E306" i="20" s="1"/>
  <c r="F306" i="20" s="1"/>
  <c r="D307" i="20" s="1"/>
  <c r="G305" i="20"/>
  <c r="H392" i="20"/>
  <c r="H658" i="20"/>
  <c r="G658" i="20"/>
  <c r="H1106" i="20"/>
  <c r="J631" i="13"/>
  <c r="J120" i="13"/>
  <c r="J293" i="13"/>
  <c r="I747" i="20"/>
  <c r="J1151" i="13"/>
  <c r="I1105" i="20"/>
  <c r="J1067" i="13"/>
  <c r="I479" i="20"/>
  <c r="D633" i="13"/>
  <c r="G632" i="13"/>
  <c r="D466" i="13"/>
  <c r="G465" i="13"/>
  <c r="D207" i="13"/>
  <c r="G206" i="13"/>
  <c r="D1017" i="20"/>
  <c r="G1016" i="20"/>
  <c r="H1016" i="20"/>
  <c r="D295" i="13"/>
  <c r="G294" i="13"/>
  <c r="D572" i="20"/>
  <c r="G571" i="20"/>
  <c r="H571" i="20"/>
  <c r="D925" i="20"/>
  <c r="G924" i="20"/>
  <c r="H924" i="20"/>
  <c r="D837" i="20"/>
  <c r="G836" i="20"/>
  <c r="H836" i="20"/>
  <c r="D1191" i="20"/>
  <c r="G1190" i="20"/>
  <c r="H1190" i="20"/>
  <c r="D217" i="20"/>
  <c r="H216" i="20"/>
  <c r="G216" i="20"/>
  <c r="E983" i="13"/>
  <c r="F983" i="13" s="1"/>
  <c r="D984" i="13" s="1"/>
  <c r="H375" i="13"/>
  <c r="I375" i="13"/>
  <c r="I215" i="20"/>
  <c r="E1069" i="13"/>
  <c r="F1069" i="13" s="1"/>
  <c r="E722" i="13"/>
  <c r="F722" i="13" s="1"/>
  <c r="D723" i="13" s="1"/>
  <c r="E806" i="13"/>
  <c r="F806" i="13" s="1"/>
  <c r="E376" i="13"/>
  <c r="F376" i="13" s="1"/>
  <c r="E125" i="20"/>
  <c r="F125" i="20" s="1"/>
  <c r="E122" i="13"/>
  <c r="F122" i="13" s="1"/>
  <c r="D123" i="13" s="1"/>
  <c r="H805" i="13"/>
  <c r="I805" i="13"/>
  <c r="E480" i="20"/>
  <c r="F480" i="20" s="1"/>
  <c r="D481" i="20" s="1"/>
  <c r="G392" i="20"/>
  <c r="G1152" i="13"/>
  <c r="I123" i="20"/>
  <c r="H124" i="20"/>
  <c r="E659" i="20"/>
  <c r="F659" i="20" s="1"/>
  <c r="D660" i="20" s="1"/>
  <c r="E1107" i="20"/>
  <c r="F1107" i="20" s="1"/>
  <c r="D1108" i="20" s="1"/>
  <c r="H894" i="13"/>
  <c r="I894" i="13"/>
  <c r="H1240" i="13"/>
  <c r="I1240" i="13"/>
  <c r="E553" i="13"/>
  <c r="F553" i="13" s="1"/>
  <c r="E1153" i="13"/>
  <c r="F1153" i="13" s="1"/>
  <c r="D1154" i="13" s="1"/>
  <c r="H721" i="13"/>
  <c r="I721" i="13"/>
  <c r="G552" i="13"/>
  <c r="E393" i="20"/>
  <c r="F393" i="20" s="1"/>
  <c r="H305" i="20"/>
  <c r="B160" i="2"/>
  <c r="B161" i="2" s="1"/>
  <c r="B162" i="2" s="1"/>
  <c r="B163" i="2" s="1"/>
  <c r="B164" i="2" s="1"/>
  <c r="B165" i="2" s="1"/>
  <c r="J551" i="13"/>
  <c r="J205" i="13"/>
  <c r="I304" i="20"/>
  <c r="G124" i="20"/>
  <c r="G1068" i="13"/>
  <c r="G121" i="13"/>
  <c r="G982" i="13"/>
  <c r="E895" i="13"/>
  <c r="F895" i="13" s="1"/>
  <c r="D896" i="13" s="1"/>
  <c r="E1241" i="13"/>
  <c r="F1241" i="13" s="1"/>
  <c r="D1242" i="13" s="1"/>
  <c r="E748" i="20"/>
  <c r="F748" i="20" s="1"/>
  <c r="J1330" i="13" l="1"/>
  <c r="E1332" i="13"/>
  <c r="F1332" i="13"/>
  <c r="D1333" i="13" s="1"/>
  <c r="G1332" i="13"/>
  <c r="G1331" i="13"/>
  <c r="I1106" i="20"/>
  <c r="I305" i="20"/>
  <c r="I392" i="20"/>
  <c r="I658" i="20"/>
  <c r="D126" i="20"/>
  <c r="E126" i="20" s="1"/>
  <c r="F126" i="20" s="1"/>
  <c r="G125" i="20"/>
  <c r="J894" i="13"/>
  <c r="J805" i="13"/>
  <c r="J1240" i="13"/>
  <c r="I1190" i="20"/>
  <c r="J721" i="13"/>
  <c r="I836" i="20"/>
  <c r="J375" i="13"/>
  <c r="I571" i="20"/>
  <c r="D554" i="13"/>
  <c r="G553" i="13"/>
  <c r="D394" i="20"/>
  <c r="G393" i="20"/>
  <c r="H393" i="20"/>
  <c r="D377" i="13"/>
  <c r="G376" i="13"/>
  <c r="D1070" i="13"/>
  <c r="G1069" i="13"/>
  <c r="D749" i="20"/>
  <c r="H748" i="20"/>
  <c r="G748" i="20"/>
  <c r="D807" i="13"/>
  <c r="G806" i="13"/>
  <c r="E1242" i="13"/>
  <c r="F1242" i="13" s="1"/>
  <c r="H1068" i="13"/>
  <c r="I1068" i="13"/>
  <c r="H1152" i="13"/>
  <c r="I1152" i="13"/>
  <c r="E123" i="13"/>
  <c r="F123" i="13" s="1"/>
  <c r="E723" i="13"/>
  <c r="F723" i="13" s="1"/>
  <c r="E307" i="20"/>
  <c r="F307" i="20" s="1"/>
  <c r="D308" i="20" s="1"/>
  <c r="E572" i="20"/>
  <c r="F572" i="20" s="1"/>
  <c r="H465" i="13"/>
  <c r="I465" i="13"/>
  <c r="H552" i="13"/>
  <c r="I552" i="13"/>
  <c r="H306" i="20"/>
  <c r="E925" i="20"/>
  <c r="F925" i="20" s="1"/>
  <c r="H294" i="13"/>
  <c r="I294" i="13"/>
  <c r="E1017" i="20"/>
  <c r="F1017" i="20" s="1"/>
  <c r="D1018" i="20" s="1"/>
  <c r="E466" i="13"/>
  <c r="F466" i="13" s="1"/>
  <c r="E896" i="13"/>
  <c r="F896" i="13" s="1"/>
  <c r="E1154" i="13"/>
  <c r="F1154" i="13" s="1"/>
  <c r="E1108" i="20"/>
  <c r="F1108" i="20" s="1"/>
  <c r="E481" i="20"/>
  <c r="F481" i="20" s="1"/>
  <c r="E984" i="13"/>
  <c r="F984" i="13" s="1"/>
  <c r="E217" i="20"/>
  <c r="F217" i="20" s="1"/>
  <c r="D218" i="20" s="1"/>
  <c r="G1241" i="13"/>
  <c r="D296" i="2"/>
  <c r="B167" i="2"/>
  <c r="E167" i="2"/>
  <c r="G1153" i="13"/>
  <c r="H1107" i="20"/>
  <c r="H659" i="20"/>
  <c r="I124" i="20"/>
  <c r="H480" i="20"/>
  <c r="G122" i="13"/>
  <c r="G306" i="20"/>
  <c r="E837" i="20"/>
  <c r="F837" i="20" s="1"/>
  <c r="E295" i="13"/>
  <c r="F295" i="13" s="1"/>
  <c r="H206" i="13"/>
  <c r="I206" i="13"/>
  <c r="H632" i="13"/>
  <c r="I632" i="13"/>
  <c r="E660" i="20"/>
  <c r="F660" i="20" s="1"/>
  <c r="H982" i="13"/>
  <c r="I982" i="13"/>
  <c r="G895" i="13"/>
  <c r="H121" i="13"/>
  <c r="I121" i="13"/>
  <c r="E165" i="2"/>
  <c r="G1107" i="20"/>
  <c r="G659" i="20"/>
  <c r="G480" i="20"/>
  <c r="H125" i="20"/>
  <c r="G722" i="13"/>
  <c r="G983" i="13"/>
  <c r="I216" i="20"/>
  <c r="E1191" i="20"/>
  <c r="F1191" i="20" s="1"/>
  <c r="I924" i="20"/>
  <c r="I1016" i="20"/>
  <c r="E207" i="13"/>
  <c r="F207" i="13" s="1"/>
  <c r="E633" i="13"/>
  <c r="F633" i="13" s="1"/>
  <c r="D634" i="13" s="1"/>
  <c r="I1332" i="13" l="1"/>
  <c r="H1332" i="13"/>
  <c r="H1331" i="13"/>
  <c r="I1331" i="13"/>
  <c r="E1333" i="13"/>
  <c r="F1333" i="13" s="1"/>
  <c r="I125" i="20"/>
  <c r="D926" i="20"/>
  <c r="E926" i="20" s="1"/>
  <c r="F926" i="20" s="1"/>
  <c r="H925" i="20"/>
  <c r="I1107" i="20"/>
  <c r="J1068" i="13"/>
  <c r="J552" i="13"/>
  <c r="J632" i="13"/>
  <c r="I306" i="20"/>
  <c r="D208" i="13"/>
  <c r="G207" i="13"/>
  <c r="D1155" i="13"/>
  <c r="G1154" i="13"/>
  <c r="D573" i="20"/>
  <c r="G572" i="20"/>
  <c r="H572" i="20"/>
  <c r="D124" i="13"/>
  <c r="G123" i="13"/>
  <c r="D661" i="20"/>
  <c r="G660" i="20"/>
  <c r="H660" i="20"/>
  <c r="D985" i="13"/>
  <c r="G984" i="13"/>
  <c r="D897" i="13"/>
  <c r="G896" i="13"/>
  <c r="D1243" i="13"/>
  <c r="G1242" i="13"/>
  <c r="D296" i="13"/>
  <c r="G295" i="13"/>
  <c r="D482" i="20"/>
  <c r="G481" i="20"/>
  <c r="H481" i="20"/>
  <c r="D467" i="13"/>
  <c r="G466" i="13"/>
  <c r="D1192" i="20"/>
  <c r="H1191" i="20"/>
  <c r="G1191" i="20"/>
  <c r="D838" i="20"/>
  <c r="H837" i="20"/>
  <c r="G837" i="20"/>
  <c r="D1109" i="20"/>
  <c r="G1108" i="20"/>
  <c r="H1108" i="20"/>
  <c r="D127" i="20"/>
  <c r="G126" i="20"/>
  <c r="H126" i="20"/>
  <c r="D724" i="13"/>
  <c r="G723" i="13"/>
  <c r="H122" i="13"/>
  <c r="I122" i="13"/>
  <c r="E218" i="20"/>
  <c r="F218" i="20" s="1"/>
  <c r="E1070" i="13"/>
  <c r="F1070" i="13" s="1"/>
  <c r="H722" i="13"/>
  <c r="I722" i="13"/>
  <c r="H895" i="13"/>
  <c r="I895" i="13"/>
  <c r="I480" i="20"/>
  <c r="H1153" i="13"/>
  <c r="I1153" i="13"/>
  <c r="H1241" i="13"/>
  <c r="I1241" i="13"/>
  <c r="G925" i="20"/>
  <c r="H307" i="20"/>
  <c r="I748" i="20"/>
  <c r="H376" i="13"/>
  <c r="I376" i="13"/>
  <c r="E394" i="20"/>
  <c r="F394" i="20" s="1"/>
  <c r="D395" i="20" s="1"/>
  <c r="E634" i="13"/>
  <c r="F634" i="13" s="1"/>
  <c r="D635" i="13" s="1"/>
  <c r="E1018" i="20"/>
  <c r="F1018" i="20" s="1"/>
  <c r="E308" i="20"/>
  <c r="F308" i="20" s="1"/>
  <c r="J982" i="13"/>
  <c r="J206" i="13"/>
  <c r="H217" i="20"/>
  <c r="H1017" i="20"/>
  <c r="J294" i="13"/>
  <c r="G307" i="20"/>
  <c r="H806" i="13"/>
  <c r="I806" i="13"/>
  <c r="E749" i="20"/>
  <c r="F749" i="20" s="1"/>
  <c r="D750" i="20" s="1"/>
  <c r="E377" i="13"/>
  <c r="F377" i="13" s="1"/>
  <c r="D378" i="13" s="1"/>
  <c r="H553" i="13"/>
  <c r="I553" i="13"/>
  <c r="H983" i="13"/>
  <c r="I983" i="13"/>
  <c r="G633" i="13"/>
  <c r="J121" i="13"/>
  <c r="I659" i="20"/>
  <c r="B168" i="2"/>
  <c r="E169" i="2"/>
  <c r="G217" i="20"/>
  <c r="G1017" i="20"/>
  <c r="J465" i="13"/>
  <c r="J1152" i="13"/>
  <c r="E807" i="13"/>
  <c r="F807" i="13" s="1"/>
  <c r="D808" i="13" s="1"/>
  <c r="H1069" i="13"/>
  <c r="I1069" i="13"/>
  <c r="I393" i="20"/>
  <c r="E554" i="13"/>
  <c r="F554" i="13" s="1"/>
  <c r="D555" i="13" s="1"/>
  <c r="J1331" i="13" l="1"/>
  <c r="D1334" i="13"/>
  <c r="E1334" i="13" s="1"/>
  <c r="F1334" i="13" s="1"/>
  <c r="D1335" i="13" s="1"/>
  <c r="G1333" i="13"/>
  <c r="I1333" i="13" s="1"/>
  <c r="H1333" i="13"/>
  <c r="J1332" i="13"/>
  <c r="I925" i="20"/>
  <c r="D927" i="20"/>
  <c r="E927" i="20" s="1"/>
  <c r="F927" i="20" s="1"/>
  <c r="H926" i="20"/>
  <c r="G926" i="20"/>
  <c r="D1071" i="13"/>
  <c r="E1071" i="13" s="1"/>
  <c r="F1071" i="13" s="1"/>
  <c r="G1070" i="13"/>
  <c r="I1070" i="13" s="1"/>
  <c r="D219" i="20"/>
  <c r="E219" i="20" s="1"/>
  <c r="F219" i="20" s="1"/>
  <c r="D220" i="20" s="1"/>
  <c r="G218" i="20"/>
  <c r="G807" i="13"/>
  <c r="H807" i="13" s="1"/>
  <c r="J1069" i="13"/>
  <c r="J553" i="13"/>
  <c r="J1153" i="13"/>
  <c r="I1108" i="20"/>
  <c r="J806" i="13"/>
  <c r="I660" i="20"/>
  <c r="J376" i="13"/>
  <c r="J722" i="13"/>
  <c r="J895" i="13"/>
  <c r="I481" i="20"/>
  <c r="I572" i="20"/>
  <c r="D1019" i="20"/>
  <c r="H1018" i="20"/>
  <c r="G1018" i="20"/>
  <c r="D309" i="20"/>
  <c r="G308" i="20"/>
  <c r="H308" i="20"/>
  <c r="E378" i="13"/>
  <c r="F378" i="13" s="1"/>
  <c r="E750" i="20"/>
  <c r="F750" i="20" s="1"/>
  <c r="D751" i="20" s="1"/>
  <c r="E635" i="13"/>
  <c r="F635" i="13" s="1"/>
  <c r="E395" i="20"/>
  <c r="F395" i="20" s="1"/>
  <c r="D396" i="20" s="1"/>
  <c r="E1109" i="20"/>
  <c r="F1109" i="20" s="1"/>
  <c r="E467" i="13"/>
  <c r="F467" i="13" s="1"/>
  <c r="H295" i="13"/>
  <c r="I295" i="13"/>
  <c r="H896" i="13"/>
  <c r="I896" i="13"/>
  <c r="E124" i="13"/>
  <c r="F124" i="13" s="1"/>
  <c r="H1154" i="13"/>
  <c r="I1154" i="13"/>
  <c r="E555" i="13"/>
  <c r="F555" i="13" s="1"/>
  <c r="E808" i="13"/>
  <c r="F808" i="13" s="1"/>
  <c r="I307" i="20"/>
  <c r="H723" i="13"/>
  <c r="I723" i="13"/>
  <c r="E127" i="20"/>
  <c r="F127" i="20" s="1"/>
  <c r="I1191" i="20"/>
  <c r="E296" i="13"/>
  <c r="F296" i="13" s="1"/>
  <c r="D297" i="13" s="1"/>
  <c r="E897" i="13"/>
  <c r="F897" i="13" s="1"/>
  <c r="D898" i="13" s="1"/>
  <c r="E1155" i="13"/>
  <c r="F1155" i="13" s="1"/>
  <c r="H633" i="13"/>
  <c r="I633" i="13"/>
  <c r="H749" i="20"/>
  <c r="I1017" i="20"/>
  <c r="H394" i="20"/>
  <c r="E724" i="13"/>
  <c r="F724" i="13" s="1"/>
  <c r="I837" i="20"/>
  <c r="E1192" i="20"/>
  <c r="F1192" i="20" s="1"/>
  <c r="H1242" i="13"/>
  <c r="I1242" i="13"/>
  <c r="H984" i="13"/>
  <c r="I984" i="13"/>
  <c r="E661" i="20"/>
  <c r="F661" i="20" s="1"/>
  <c r="H207" i="13"/>
  <c r="I207" i="13"/>
  <c r="G554" i="13"/>
  <c r="D311" i="2"/>
  <c r="E30" i="2"/>
  <c r="C48" i="13"/>
  <c r="C48" i="20"/>
  <c r="B169" i="2"/>
  <c r="D309" i="2"/>
  <c r="D306" i="2"/>
  <c r="J983" i="13"/>
  <c r="G377" i="13"/>
  <c r="G749" i="20"/>
  <c r="I217" i="20"/>
  <c r="G634" i="13"/>
  <c r="G394" i="20"/>
  <c r="J1241" i="13"/>
  <c r="H218" i="20"/>
  <c r="J122" i="13"/>
  <c r="I126" i="20"/>
  <c r="E838" i="20"/>
  <c r="F838" i="20" s="1"/>
  <c r="D839" i="20" s="1"/>
  <c r="H466" i="13"/>
  <c r="I466" i="13"/>
  <c r="E482" i="20"/>
  <c r="F482" i="20" s="1"/>
  <c r="E1243" i="13"/>
  <c r="F1243" i="13" s="1"/>
  <c r="D1244" i="13" s="1"/>
  <c r="E985" i="13"/>
  <c r="F985" i="13" s="1"/>
  <c r="D986" i="13" s="1"/>
  <c r="H123" i="13"/>
  <c r="I123" i="13"/>
  <c r="E573" i="20"/>
  <c r="F573" i="20" s="1"/>
  <c r="E208" i="13"/>
  <c r="F208" i="13" s="1"/>
  <c r="J1333" i="13" l="1"/>
  <c r="H1070" i="13"/>
  <c r="J1070" i="13" s="1"/>
  <c r="E1335" i="13"/>
  <c r="F1335" i="13"/>
  <c r="D1336" i="13" s="1"/>
  <c r="I807" i="13"/>
  <c r="J807" i="13" s="1"/>
  <c r="G1334" i="13"/>
  <c r="D483" i="20"/>
  <c r="E483" i="20" s="1"/>
  <c r="F483" i="20" s="1"/>
  <c r="D484" i="20" s="1"/>
  <c r="H482" i="20"/>
  <c r="I218" i="20"/>
  <c r="I926" i="20"/>
  <c r="D809" i="13"/>
  <c r="E809" i="13" s="1"/>
  <c r="F809" i="13" s="1"/>
  <c r="D810" i="13" s="1"/>
  <c r="G808" i="13"/>
  <c r="H808" i="13" s="1"/>
  <c r="D1156" i="13"/>
  <c r="E1156" i="13" s="1"/>
  <c r="F1156" i="13" s="1"/>
  <c r="G1155" i="13"/>
  <c r="H1155" i="13" s="1"/>
  <c r="D128" i="20"/>
  <c r="E128" i="20" s="1"/>
  <c r="F128" i="20" s="1"/>
  <c r="D129" i="20" s="1"/>
  <c r="H127" i="20"/>
  <c r="G482" i="20"/>
  <c r="J123" i="13"/>
  <c r="J633" i="13"/>
  <c r="J1154" i="13"/>
  <c r="I308" i="20"/>
  <c r="J466" i="13"/>
  <c r="J723" i="13"/>
  <c r="D636" i="13"/>
  <c r="G635" i="13"/>
  <c r="D209" i="13"/>
  <c r="G208" i="13"/>
  <c r="D574" i="20"/>
  <c r="G573" i="20"/>
  <c r="H573" i="20"/>
  <c r="D1193" i="20"/>
  <c r="G1192" i="20"/>
  <c r="H1192" i="20"/>
  <c r="D928" i="20"/>
  <c r="G927" i="20"/>
  <c r="H927" i="20"/>
  <c r="D1072" i="13"/>
  <c r="G1071" i="13"/>
  <c r="D125" i="13"/>
  <c r="G124" i="13"/>
  <c r="D662" i="20"/>
  <c r="G661" i="20"/>
  <c r="H661" i="20"/>
  <c r="D556" i="13"/>
  <c r="G555" i="13"/>
  <c r="D468" i="13"/>
  <c r="G467" i="13"/>
  <c r="D725" i="13"/>
  <c r="G724" i="13"/>
  <c r="D1110" i="20"/>
  <c r="G1109" i="20"/>
  <c r="H1109" i="20"/>
  <c r="D379" i="13"/>
  <c r="G378" i="13"/>
  <c r="E986" i="13"/>
  <c r="F986" i="13" s="1"/>
  <c r="D987" i="13" s="1"/>
  <c r="G985" i="13"/>
  <c r="G1243" i="13"/>
  <c r="G838" i="20"/>
  <c r="H634" i="13"/>
  <c r="I634" i="13"/>
  <c r="B171" i="2"/>
  <c r="B172" i="2" s="1"/>
  <c r="E297" i="13"/>
  <c r="F297" i="13" s="1"/>
  <c r="E220" i="20"/>
  <c r="F220" i="20" s="1"/>
  <c r="E396" i="20"/>
  <c r="F396" i="20" s="1"/>
  <c r="E751" i="20"/>
  <c r="F751" i="20" s="1"/>
  <c r="E309" i="20"/>
  <c r="F309" i="20" s="1"/>
  <c r="J984" i="13"/>
  <c r="I394" i="20"/>
  <c r="G897" i="13"/>
  <c r="G127" i="20"/>
  <c r="J896" i="13"/>
  <c r="H750" i="20"/>
  <c r="H554" i="13"/>
  <c r="I554" i="13"/>
  <c r="E898" i="13"/>
  <c r="F898" i="13" s="1"/>
  <c r="D899" i="13" s="1"/>
  <c r="G296" i="13"/>
  <c r="H219" i="20"/>
  <c r="H395" i="20"/>
  <c r="G750" i="20"/>
  <c r="I1018" i="20"/>
  <c r="E839" i="20"/>
  <c r="F839" i="20" s="1"/>
  <c r="D840" i="20" s="1"/>
  <c r="E1244" i="13"/>
  <c r="F1244" i="13" s="1"/>
  <c r="H838" i="20"/>
  <c r="H377" i="13"/>
  <c r="I377" i="13"/>
  <c r="J207" i="13"/>
  <c r="J1242" i="13"/>
  <c r="I749" i="20"/>
  <c r="G219" i="20"/>
  <c r="J295" i="13"/>
  <c r="G395" i="20"/>
  <c r="E1019" i="20"/>
  <c r="F1019" i="20" s="1"/>
  <c r="G1335" i="13" l="1"/>
  <c r="E1336" i="13"/>
  <c r="F1336" i="13"/>
  <c r="D1337" i="13" s="1"/>
  <c r="H1335" i="13"/>
  <c r="I1335" i="13"/>
  <c r="I1334" i="13"/>
  <c r="H1334" i="13"/>
  <c r="I808" i="13"/>
  <c r="J808" i="13" s="1"/>
  <c r="I482" i="20"/>
  <c r="I127" i="20"/>
  <c r="D1020" i="20"/>
  <c r="E1020" i="20" s="1"/>
  <c r="F1020" i="20" s="1"/>
  <c r="G1019" i="20"/>
  <c r="D1245" i="13"/>
  <c r="E1245" i="13" s="1"/>
  <c r="F1245" i="13" s="1"/>
  <c r="G1244" i="13"/>
  <c r="H1244" i="13" s="1"/>
  <c r="I1155" i="13"/>
  <c r="J1155" i="13" s="1"/>
  <c r="G839" i="20"/>
  <c r="J554" i="13"/>
  <c r="I1192" i="20"/>
  <c r="I838" i="20"/>
  <c r="I661" i="20"/>
  <c r="J377" i="13"/>
  <c r="D298" i="13"/>
  <c r="G297" i="13"/>
  <c r="D397" i="20"/>
  <c r="H396" i="20"/>
  <c r="G396" i="20"/>
  <c r="D1157" i="13"/>
  <c r="G1156" i="13"/>
  <c r="D310" i="20"/>
  <c r="H309" i="20"/>
  <c r="G309" i="20"/>
  <c r="D752" i="20"/>
  <c r="H751" i="20"/>
  <c r="G751" i="20"/>
  <c r="D221" i="20"/>
  <c r="G220" i="20"/>
  <c r="H220" i="20"/>
  <c r="G809" i="13"/>
  <c r="H128" i="20"/>
  <c r="H296" i="13"/>
  <c r="I296" i="13"/>
  <c r="H897" i="13"/>
  <c r="I897" i="13"/>
  <c r="B173" i="2"/>
  <c r="B174" i="2" s="1"/>
  <c r="H483" i="20"/>
  <c r="H1243" i="13"/>
  <c r="I1243" i="13"/>
  <c r="H467" i="13"/>
  <c r="I467" i="13"/>
  <c r="E125" i="13"/>
  <c r="F125" i="13" s="1"/>
  <c r="D126" i="13" s="1"/>
  <c r="E1193" i="20"/>
  <c r="F1193" i="20" s="1"/>
  <c r="H208" i="13"/>
  <c r="I208" i="13"/>
  <c r="H1019" i="20"/>
  <c r="H839" i="20"/>
  <c r="G128" i="20"/>
  <c r="G898" i="13"/>
  <c r="I750" i="20"/>
  <c r="J634" i="13"/>
  <c r="G483" i="20"/>
  <c r="H985" i="13"/>
  <c r="I985" i="13"/>
  <c r="H378" i="13"/>
  <c r="I378" i="13"/>
  <c r="E1110" i="20"/>
  <c r="F1110" i="20" s="1"/>
  <c r="E468" i="13"/>
  <c r="F468" i="13" s="1"/>
  <c r="D469" i="13" s="1"/>
  <c r="H1071" i="13"/>
  <c r="I1071" i="13"/>
  <c r="E928" i="20"/>
  <c r="F928" i="20" s="1"/>
  <c r="I573" i="20"/>
  <c r="E209" i="13"/>
  <c r="F209" i="13" s="1"/>
  <c r="E810" i="13"/>
  <c r="F810" i="13" s="1"/>
  <c r="D811" i="13" s="1"/>
  <c r="E129" i="20"/>
  <c r="F129" i="20" s="1"/>
  <c r="D130" i="20" s="1"/>
  <c r="E899" i="13"/>
  <c r="F899" i="13" s="1"/>
  <c r="E484" i="20"/>
  <c r="F484" i="20" s="1"/>
  <c r="D485" i="20" s="1"/>
  <c r="E987" i="13"/>
  <c r="F987" i="13" s="1"/>
  <c r="E379" i="13"/>
  <c r="F379" i="13" s="1"/>
  <c r="H724" i="13"/>
  <c r="I724" i="13"/>
  <c r="H555" i="13"/>
  <c r="I555" i="13"/>
  <c r="E662" i="20"/>
  <c r="F662" i="20" s="1"/>
  <c r="E1072" i="13"/>
  <c r="F1072" i="13" s="1"/>
  <c r="D1073" i="13" s="1"/>
  <c r="H635" i="13"/>
  <c r="I635" i="13"/>
  <c r="E840" i="20"/>
  <c r="F840" i="20" s="1"/>
  <c r="I395" i="20"/>
  <c r="I219" i="20"/>
  <c r="G986" i="13"/>
  <c r="I1109" i="20"/>
  <c r="E725" i="13"/>
  <c r="F725" i="13" s="1"/>
  <c r="E556" i="13"/>
  <c r="F556" i="13" s="1"/>
  <c r="D557" i="13" s="1"/>
  <c r="H124" i="13"/>
  <c r="I124" i="13"/>
  <c r="I927" i="20"/>
  <c r="E574" i="20"/>
  <c r="F574" i="20" s="1"/>
  <c r="D575" i="20" s="1"/>
  <c r="E636" i="13"/>
  <c r="F636" i="13" s="1"/>
  <c r="G1336" i="13" l="1"/>
  <c r="H1336" i="13"/>
  <c r="I1336" i="13"/>
  <c r="J1334" i="13"/>
  <c r="E1337" i="13"/>
  <c r="F1337" i="13" s="1"/>
  <c r="J1335" i="13"/>
  <c r="I839" i="20"/>
  <c r="I1019" i="20"/>
  <c r="D1021" i="20"/>
  <c r="E1021" i="20" s="1"/>
  <c r="F1021" i="20" s="1"/>
  <c r="H1020" i="20"/>
  <c r="I1244" i="13"/>
  <c r="J1244" i="13" s="1"/>
  <c r="J724" i="13"/>
  <c r="J1243" i="13"/>
  <c r="J124" i="13"/>
  <c r="J555" i="13"/>
  <c r="J1071" i="13"/>
  <c r="J467" i="13"/>
  <c r="I483" i="20"/>
  <c r="I220" i="20"/>
  <c r="I751" i="20"/>
  <c r="I396" i="20"/>
  <c r="D637" i="13"/>
  <c r="G636" i="13"/>
  <c r="D380" i="13"/>
  <c r="G379" i="13"/>
  <c r="D900" i="13"/>
  <c r="G899" i="13"/>
  <c r="D1111" i="20"/>
  <c r="G1110" i="20"/>
  <c r="H1110" i="20"/>
  <c r="D1246" i="13"/>
  <c r="G1245" i="13"/>
  <c r="D726" i="13"/>
  <c r="G725" i="13"/>
  <c r="D988" i="13"/>
  <c r="G987" i="13"/>
  <c r="D1194" i="20"/>
  <c r="G1193" i="20"/>
  <c r="H1193" i="20"/>
  <c r="D841" i="20"/>
  <c r="H840" i="20"/>
  <c r="G840" i="20"/>
  <c r="D210" i="13"/>
  <c r="G209" i="13"/>
  <c r="D663" i="20"/>
  <c r="G662" i="20"/>
  <c r="H662" i="20"/>
  <c r="D929" i="20"/>
  <c r="G928" i="20"/>
  <c r="H928" i="20"/>
  <c r="E557" i="13"/>
  <c r="F557" i="13" s="1"/>
  <c r="D558" i="13" s="1"/>
  <c r="E130" i="20"/>
  <c r="F130" i="20" s="1"/>
  <c r="E469" i="13"/>
  <c r="F469" i="13" s="1"/>
  <c r="H809" i="13"/>
  <c r="I809" i="13"/>
  <c r="E310" i="20"/>
  <c r="F310" i="20" s="1"/>
  <c r="E575" i="20"/>
  <c r="F575" i="20" s="1"/>
  <c r="D576" i="20" s="1"/>
  <c r="E485" i="20"/>
  <c r="F485" i="20" s="1"/>
  <c r="D486" i="20" s="1"/>
  <c r="H574" i="20"/>
  <c r="G1072" i="13"/>
  <c r="H129" i="20"/>
  <c r="G810" i="13"/>
  <c r="J378" i="13"/>
  <c r="H898" i="13"/>
  <c r="I898" i="13"/>
  <c r="G125" i="13"/>
  <c r="J296" i="13"/>
  <c r="G1020" i="20"/>
  <c r="E752" i="20"/>
  <c r="F752" i="20" s="1"/>
  <c r="H1156" i="13"/>
  <c r="I1156" i="13"/>
  <c r="E397" i="20"/>
  <c r="F397" i="20" s="1"/>
  <c r="D398" i="20" s="1"/>
  <c r="G574" i="20"/>
  <c r="G556" i="13"/>
  <c r="E1073" i="13"/>
  <c r="F1073" i="13" s="1"/>
  <c r="D1074" i="13" s="1"/>
  <c r="H484" i="20"/>
  <c r="G129" i="20"/>
  <c r="E811" i="13"/>
  <c r="F811" i="13" s="1"/>
  <c r="E126" i="13"/>
  <c r="F126" i="13" s="1"/>
  <c r="C59" i="20"/>
  <c r="B175" i="2"/>
  <c r="B176" i="2" s="1"/>
  <c r="B177" i="2" s="1"/>
  <c r="C76" i="20"/>
  <c r="C59" i="13"/>
  <c r="C76" i="13"/>
  <c r="E34" i="2"/>
  <c r="E221" i="20"/>
  <c r="F221" i="20" s="1"/>
  <c r="E1157" i="13"/>
  <c r="F1157" i="13" s="1"/>
  <c r="D1158" i="13" s="1"/>
  <c r="H297" i="13"/>
  <c r="I297" i="13"/>
  <c r="H986" i="13"/>
  <c r="I986" i="13"/>
  <c r="J635" i="13"/>
  <c r="G484" i="20"/>
  <c r="G468" i="13"/>
  <c r="J985" i="13"/>
  <c r="J208" i="13"/>
  <c r="J897" i="13"/>
  <c r="I128" i="20"/>
  <c r="I309" i="20"/>
  <c r="E298" i="13"/>
  <c r="F298" i="13" s="1"/>
  <c r="D299" i="13" s="1"/>
  <c r="J1336" i="13" l="1"/>
  <c r="D1338" i="13"/>
  <c r="G1337" i="13"/>
  <c r="I1020" i="20"/>
  <c r="D1022" i="20"/>
  <c r="E1022" i="20" s="1"/>
  <c r="F1022" i="20" s="1"/>
  <c r="H1021" i="20"/>
  <c r="G1021" i="20"/>
  <c r="H397" i="20"/>
  <c r="G397" i="20"/>
  <c r="G1157" i="13"/>
  <c r="I1157" i="13" s="1"/>
  <c r="J1156" i="13"/>
  <c r="I840" i="20"/>
  <c r="J986" i="13"/>
  <c r="I662" i="20"/>
  <c r="I1193" i="20"/>
  <c r="D131" i="20"/>
  <c r="G130" i="20"/>
  <c r="H130" i="20"/>
  <c r="D127" i="13"/>
  <c r="G126" i="13"/>
  <c r="D753" i="20"/>
  <c r="G752" i="20"/>
  <c r="H752" i="20"/>
  <c r="D311" i="20"/>
  <c r="G310" i="20"/>
  <c r="H310" i="20"/>
  <c r="D222" i="20"/>
  <c r="G221" i="20"/>
  <c r="H221" i="20"/>
  <c r="D812" i="13"/>
  <c r="G811" i="13"/>
  <c r="D470" i="13"/>
  <c r="G469" i="13"/>
  <c r="E1074" i="13"/>
  <c r="F1074" i="13" s="1"/>
  <c r="D1075" i="13" s="1"/>
  <c r="E177" i="2"/>
  <c r="H1072" i="13"/>
  <c r="I1072" i="13"/>
  <c r="E486" i="20"/>
  <c r="F486" i="20" s="1"/>
  <c r="E576" i="20"/>
  <c r="F576" i="20" s="1"/>
  <c r="E558" i="13"/>
  <c r="F558" i="13" s="1"/>
  <c r="D559" i="13" s="1"/>
  <c r="E663" i="20"/>
  <c r="F663" i="20" s="1"/>
  <c r="E1194" i="20"/>
  <c r="F1194" i="20" s="1"/>
  <c r="D1195" i="20" s="1"/>
  <c r="E726" i="13"/>
  <c r="F726" i="13" s="1"/>
  <c r="H379" i="13"/>
  <c r="I379" i="13"/>
  <c r="B179" i="2"/>
  <c r="B180" i="2" s="1"/>
  <c r="B181" i="2" s="1"/>
  <c r="H125" i="13"/>
  <c r="I125" i="13"/>
  <c r="I574" i="20"/>
  <c r="G557" i="13"/>
  <c r="E929" i="20"/>
  <c r="F929" i="20" s="1"/>
  <c r="D930" i="20" s="1"/>
  <c r="H209" i="13"/>
  <c r="I209" i="13"/>
  <c r="E841" i="20"/>
  <c r="F841" i="20" s="1"/>
  <c r="H987" i="13"/>
  <c r="I987" i="13"/>
  <c r="H1245" i="13"/>
  <c r="I1245" i="13"/>
  <c r="E1111" i="20"/>
  <c r="F1111" i="20" s="1"/>
  <c r="E380" i="13"/>
  <c r="F380" i="13" s="1"/>
  <c r="I484" i="20"/>
  <c r="H556" i="13"/>
  <c r="I556" i="13"/>
  <c r="H810" i="13"/>
  <c r="I810" i="13"/>
  <c r="H485" i="20"/>
  <c r="H575" i="20"/>
  <c r="E210" i="13"/>
  <c r="F210" i="13" s="1"/>
  <c r="E988" i="13"/>
  <c r="F988" i="13" s="1"/>
  <c r="D989" i="13" s="1"/>
  <c r="E1246" i="13"/>
  <c r="F1246" i="13" s="1"/>
  <c r="D1247" i="13" s="1"/>
  <c r="H899" i="13"/>
  <c r="I899" i="13"/>
  <c r="H636" i="13"/>
  <c r="I636" i="13"/>
  <c r="E299" i="13"/>
  <c r="F299" i="13" s="1"/>
  <c r="D300" i="13" s="1"/>
  <c r="G298" i="13"/>
  <c r="H468" i="13"/>
  <c r="I468" i="13"/>
  <c r="E1158" i="13"/>
  <c r="F1158" i="13" s="1"/>
  <c r="D1159" i="13" s="1"/>
  <c r="J297" i="13"/>
  <c r="G1073" i="13"/>
  <c r="E398" i="20"/>
  <c r="F398" i="20" s="1"/>
  <c r="J898" i="13"/>
  <c r="I129" i="20"/>
  <c r="G485" i="20"/>
  <c r="G575" i="20"/>
  <c r="J809" i="13"/>
  <c r="I928" i="20"/>
  <c r="H725" i="13"/>
  <c r="I725" i="13"/>
  <c r="I1110" i="20"/>
  <c r="E900" i="13"/>
  <c r="F900" i="13" s="1"/>
  <c r="E637" i="13"/>
  <c r="F637" i="13" s="1"/>
  <c r="I1337" i="13" l="1"/>
  <c r="H1337" i="13"/>
  <c r="E1338" i="13"/>
  <c r="F1338" i="13" s="1"/>
  <c r="D1339" i="13" s="1"/>
  <c r="H1157" i="13"/>
  <c r="J1157" i="13" s="1"/>
  <c r="I397" i="20"/>
  <c r="I1021" i="20"/>
  <c r="D842" i="20"/>
  <c r="E842" i="20" s="1"/>
  <c r="F842" i="20" s="1"/>
  <c r="G841" i="20"/>
  <c r="H841" i="20"/>
  <c r="D487" i="20"/>
  <c r="E487" i="20" s="1"/>
  <c r="F487" i="20" s="1"/>
  <c r="H486" i="20"/>
  <c r="D638" i="13"/>
  <c r="E638" i="13" s="1"/>
  <c r="F638" i="13" s="1"/>
  <c r="G637" i="13"/>
  <c r="D1112" i="20"/>
  <c r="E1112" i="20" s="1"/>
  <c r="F1112" i="20" s="1"/>
  <c r="H1111" i="20"/>
  <c r="D577" i="20"/>
  <c r="E577" i="20" s="1"/>
  <c r="F577" i="20" s="1"/>
  <c r="H576" i="20"/>
  <c r="G1074" i="13"/>
  <c r="I1074" i="13" s="1"/>
  <c r="J1245" i="13"/>
  <c r="J209" i="13"/>
  <c r="I310" i="20"/>
  <c r="I130" i="20"/>
  <c r="J556" i="13"/>
  <c r="J379" i="13"/>
  <c r="J725" i="13"/>
  <c r="J810" i="13"/>
  <c r="J1072" i="13"/>
  <c r="I752" i="20"/>
  <c r="J987" i="13"/>
  <c r="J125" i="13"/>
  <c r="D211" i="13"/>
  <c r="G210" i="13"/>
  <c r="D727" i="13"/>
  <c r="G726" i="13"/>
  <c r="D381" i="13"/>
  <c r="G380" i="13"/>
  <c r="D901" i="13"/>
  <c r="G900" i="13"/>
  <c r="D399" i="20"/>
  <c r="H398" i="20"/>
  <c r="G398" i="20"/>
  <c r="D1023" i="20"/>
  <c r="G1022" i="20"/>
  <c r="H1022" i="20"/>
  <c r="D664" i="20"/>
  <c r="G663" i="20"/>
  <c r="H663" i="20"/>
  <c r="H1073" i="13"/>
  <c r="I1073" i="13"/>
  <c r="E1159" i="13"/>
  <c r="F1159" i="13" s="1"/>
  <c r="D1160" i="13" s="1"/>
  <c r="E930" i="20"/>
  <c r="F930" i="20" s="1"/>
  <c r="H811" i="13"/>
  <c r="I811" i="13"/>
  <c r="E127" i="13"/>
  <c r="F127" i="13" s="1"/>
  <c r="J468" i="13"/>
  <c r="J636" i="13"/>
  <c r="G1246" i="13"/>
  <c r="G1111" i="20"/>
  <c r="H1194" i="20"/>
  <c r="G558" i="13"/>
  <c r="G576" i="20"/>
  <c r="G486" i="20"/>
  <c r="E1075" i="13"/>
  <c r="F1075" i="13" s="1"/>
  <c r="E812" i="13"/>
  <c r="F812" i="13" s="1"/>
  <c r="E300" i="13"/>
  <c r="F300" i="13" s="1"/>
  <c r="E989" i="13"/>
  <c r="F989" i="13" s="1"/>
  <c r="E1195" i="20"/>
  <c r="F1195" i="20" s="1"/>
  <c r="E222" i="20"/>
  <c r="F222" i="20" s="1"/>
  <c r="H637" i="13"/>
  <c r="I637" i="13"/>
  <c r="E1247" i="13"/>
  <c r="F1247" i="13" s="1"/>
  <c r="D1248" i="13" s="1"/>
  <c r="G988" i="13"/>
  <c r="I575" i="20"/>
  <c r="H929" i="20"/>
  <c r="H557" i="13"/>
  <c r="I557" i="13"/>
  <c r="G1194" i="20"/>
  <c r="E559" i="13"/>
  <c r="F559" i="13" s="1"/>
  <c r="H469" i="13"/>
  <c r="I469" i="13"/>
  <c r="I221" i="20"/>
  <c r="E753" i="20"/>
  <c r="F753" i="20" s="1"/>
  <c r="G1158" i="13"/>
  <c r="H298" i="13"/>
  <c r="I298" i="13"/>
  <c r="G299" i="13"/>
  <c r="J899" i="13"/>
  <c r="I485" i="20"/>
  <c r="G929" i="20"/>
  <c r="E186" i="2"/>
  <c r="B182" i="2"/>
  <c r="B183" i="2" s="1"/>
  <c r="B184" i="2" s="1"/>
  <c r="B185" i="2" s="1"/>
  <c r="B186" i="2" s="1"/>
  <c r="E470" i="13"/>
  <c r="F470" i="13" s="1"/>
  <c r="E311" i="20"/>
  <c r="F311" i="20" s="1"/>
  <c r="H126" i="13"/>
  <c r="I126" i="13"/>
  <c r="E131" i="20"/>
  <c r="F131" i="20" s="1"/>
  <c r="E1339" i="13" l="1"/>
  <c r="F1339" i="13"/>
  <c r="D1340" i="13" s="1"/>
  <c r="G1338" i="13"/>
  <c r="J1337" i="13"/>
  <c r="H1074" i="13"/>
  <c r="I486" i="20"/>
  <c r="I1111" i="20"/>
  <c r="I841" i="20"/>
  <c r="I576" i="20"/>
  <c r="D1196" i="20"/>
  <c r="E1196" i="20" s="1"/>
  <c r="F1196" i="20" s="1"/>
  <c r="G1195" i="20"/>
  <c r="D990" i="13"/>
  <c r="E990" i="13" s="1"/>
  <c r="F990" i="13" s="1"/>
  <c r="G989" i="13"/>
  <c r="H989" i="13" s="1"/>
  <c r="D301" i="13"/>
  <c r="E301" i="13" s="1"/>
  <c r="F301" i="13" s="1"/>
  <c r="G300" i="13"/>
  <c r="H300" i="13" s="1"/>
  <c r="G1159" i="13"/>
  <c r="H1159" i="13" s="1"/>
  <c r="I1022" i="20"/>
  <c r="J469" i="13"/>
  <c r="I929" i="20"/>
  <c r="J811" i="13"/>
  <c r="J637" i="13"/>
  <c r="J1073" i="13"/>
  <c r="J298" i="13"/>
  <c r="J557" i="13"/>
  <c r="J1074" i="13"/>
  <c r="D132" i="20"/>
  <c r="G131" i="20"/>
  <c r="H131" i="20"/>
  <c r="D128" i="13"/>
  <c r="G127" i="13"/>
  <c r="D471" i="13"/>
  <c r="G470" i="13"/>
  <c r="D1076" i="13"/>
  <c r="G1075" i="13"/>
  <c r="D560" i="13"/>
  <c r="G559" i="13"/>
  <c r="D639" i="13"/>
  <c r="G638" i="13"/>
  <c r="D843" i="20"/>
  <c r="G842" i="20"/>
  <c r="H842" i="20"/>
  <c r="D223" i="20"/>
  <c r="H222" i="20"/>
  <c r="G222" i="20"/>
  <c r="D578" i="20"/>
  <c r="G577" i="20"/>
  <c r="H577" i="20"/>
  <c r="D931" i="20"/>
  <c r="G930" i="20"/>
  <c r="H930" i="20"/>
  <c r="D312" i="20"/>
  <c r="G311" i="20"/>
  <c r="H311" i="20"/>
  <c r="D754" i="20"/>
  <c r="H753" i="20"/>
  <c r="G753" i="20"/>
  <c r="D488" i="20"/>
  <c r="G487" i="20"/>
  <c r="H487" i="20"/>
  <c r="D1113" i="20"/>
  <c r="G1112" i="20"/>
  <c r="H1112" i="20"/>
  <c r="D813" i="13"/>
  <c r="G812" i="13"/>
  <c r="E1248" i="13"/>
  <c r="F1248" i="13" s="1"/>
  <c r="H1246" i="13"/>
  <c r="I1246" i="13"/>
  <c r="E1023" i="20"/>
  <c r="F1023" i="20" s="1"/>
  <c r="H558" i="13"/>
  <c r="I558" i="13"/>
  <c r="E664" i="20"/>
  <c r="F664" i="20" s="1"/>
  <c r="D665" i="20" s="1"/>
  <c r="E901" i="13"/>
  <c r="F901" i="13" s="1"/>
  <c r="E727" i="13"/>
  <c r="F727" i="13" s="1"/>
  <c r="H900" i="13"/>
  <c r="I900" i="13"/>
  <c r="J126" i="13"/>
  <c r="H988" i="13"/>
  <c r="I988" i="13"/>
  <c r="I1194" i="20"/>
  <c r="E1160" i="13"/>
  <c r="F1160" i="13" s="1"/>
  <c r="D1161" i="13" s="1"/>
  <c r="I398" i="20"/>
  <c r="H380" i="13"/>
  <c r="I380" i="13"/>
  <c r="H210" i="13"/>
  <c r="I210" i="13"/>
  <c r="H299" i="13"/>
  <c r="I299" i="13"/>
  <c r="H726" i="13"/>
  <c r="I726" i="13"/>
  <c r="B188" i="2"/>
  <c r="B189" i="2" s="1"/>
  <c r="H1158" i="13"/>
  <c r="I1158" i="13"/>
  <c r="G1247" i="13"/>
  <c r="H1195" i="20"/>
  <c r="I663" i="20"/>
  <c r="E399" i="20"/>
  <c r="F399" i="20" s="1"/>
  <c r="E381" i="13"/>
  <c r="F381" i="13" s="1"/>
  <c r="E211" i="13"/>
  <c r="F211" i="13" s="1"/>
  <c r="G1339" i="13" l="1"/>
  <c r="I300" i="13"/>
  <c r="J300" i="13" s="1"/>
  <c r="I1339" i="13"/>
  <c r="H1339" i="13"/>
  <c r="E1340" i="13"/>
  <c r="F1340" i="13" s="1"/>
  <c r="D1341" i="13" s="1"/>
  <c r="I1338" i="13"/>
  <c r="H1338" i="13"/>
  <c r="I1159" i="13"/>
  <c r="J1159" i="13" s="1"/>
  <c r="I1195" i="20"/>
  <c r="D400" i="20"/>
  <c r="E400" i="20" s="1"/>
  <c r="F400" i="20" s="1"/>
  <c r="H399" i="20"/>
  <c r="G1160" i="13"/>
  <c r="H1160" i="13" s="1"/>
  <c r="I989" i="13"/>
  <c r="J989" i="13" s="1"/>
  <c r="J900" i="13"/>
  <c r="I131" i="20"/>
  <c r="I1112" i="20"/>
  <c r="I930" i="20"/>
  <c r="I311" i="20"/>
  <c r="I842" i="20"/>
  <c r="D1249" i="13"/>
  <c r="G1248" i="13"/>
  <c r="D991" i="13"/>
  <c r="G990" i="13"/>
  <c r="D902" i="13"/>
  <c r="G901" i="13"/>
  <c r="D212" i="13"/>
  <c r="G211" i="13"/>
  <c r="D382" i="13"/>
  <c r="G381" i="13"/>
  <c r="D1197" i="20"/>
  <c r="G1196" i="20"/>
  <c r="H1196" i="20"/>
  <c r="D302" i="13"/>
  <c r="G301" i="13"/>
  <c r="D728" i="13"/>
  <c r="G727" i="13"/>
  <c r="D1024" i="20"/>
  <c r="H1023" i="20"/>
  <c r="G1023" i="20"/>
  <c r="G399" i="20"/>
  <c r="J299" i="13"/>
  <c r="J380" i="13"/>
  <c r="E488" i="20"/>
  <c r="F488" i="20" s="1"/>
  <c r="E578" i="20"/>
  <c r="F578" i="20" s="1"/>
  <c r="D579" i="20" s="1"/>
  <c r="E639" i="13"/>
  <c r="F639" i="13" s="1"/>
  <c r="E1076" i="13"/>
  <c r="F1076" i="13" s="1"/>
  <c r="E128" i="13"/>
  <c r="F128" i="13" s="1"/>
  <c r="E665" i="20"/>
  <c r="F665" i="20" s="1"/>
  <c r="D666" i="20" s="1"/>
  <c r="E754" i="20"/>
  <c r="F754" i="20" s="1"/>
  <c r="H1247" i="13"/>
  <c r="I1247" i="13"/>
  <c r="B190" i="2"/>
  <c r="D193" i="2"/>
  <c r="E1161" i="13"/>
  <c r="F1161" i="13" s="1"/>
  <c r="H664" i="20"/>
  <c r="J558" i="13"/>
  <c r="H812" i="13"/>
  <c r="I812" i="13"/>
  <c r="E1113" i="20"/>
  <c r="F1113" i="20" s="1"/>
  <c r="D1114" i="20" s="1"/>
  <c r="E931" i="20"/>
  <c r="F931" i="20" s="1"/>
  <c r="H559" i="13"/>
  <c r="I559" i="13"/>
  <c r="H470" i="13"/>
  <c r="I470" i="13"/>
  <c r="J1158" i="13"/>
  <c r="J726" i="13"/>
  <c r="J210" i="13"/>
  <c r="J988" i="13"/>
  <c r="G664" i="20"/>
  <c r="J1246" i="13"/>
  <c r="E813" i="13"/>
  <c r="F813" i="13" s="1"/>
  <c r="I487" i="20"/>
  <c r="I753" i="20"/>
  <c r="E312" i="20"/>
  <c r="F312" i="20" s="1"/>
  <c r="I577" i="20"/>
  <c r="I222" i="20"/>
  <c r="E843" i="20"/>
  <c r="F843" i="20" s="1"/>
  <c r="E560" i="13"/>
  <c r="F560" i="13" s="1"/>
  <c r="D561" i="13" s="1"/>
  <c r="E471" i="13"/>
  <c r="F471" i="13" s="1"/>
  <c r="E223" i="20"/>
  <c r="F223" i="20" s="1"/>
  <c r="H638" i="13"/>
  <c r="I638" i="13"/>
  <c r="H1075" i="13"/>
  <c r="I1075" i="13"/>
  <c r="H127" i="13"/>
  <c r="I127" i="13"/>
  <c r="E132" i="20"/>
  <c r="F132" i="20" s="1"/>
  <c r="D133" i="20" s="1"/>
  <c r="I1160" i="13" l="1"/>
  <c r="J1160" i="13" s="1"/>
  <c r="J1338" i="13"/>
  <c r="E1341" i="13"/>
  <c r="F1341" i="13" s="1"/>
  <c r="D1342" i="13" s="1"/>
  <c r="G1340" i="13"/>
  <c r="J1339" i="13"/>
  <c r="I399" i="20"/>
  <c r="H132" i="20"/>
  <c r="G132" i="20"/>
  <c r="J1247" i="13"/>
  <c r="D1077" i="13"/>
  <c r="G1076" i="13"/>
  <c r="D401" i="20"/>
  <c r="H400" i="20"/>
  <c r="G400" i="20"/>
  <c r="D640" i="13"/>
  <c r="G639" i="13"/>
  <c r="D489" i="20"/>
  <c r="G488" i="20"/>
  <c r="H488" i="20"/>
  <c r="D472" i="13"/>
  <c r="G471" i="13"/>
  <c r="D1162" i="13"/>
  <c r="G1161" i="13"/>
  <c r="D814" i="13"/>
  <c r="G813" i="13"/>
  <c r="D932" i="20"/>
  <c r="H931" i="20"/>
  <c r="G931" i="20"/>
  <c r="D755" i="20"/>
  <c r="G754" i="20"/>
  <c r="H754" i="20"/>
  <c r="D844" i="20"/>
  <c r="G843" i="20"/>
  <c r="H843" i="20"/>
  <c r="D224" i="20"/>
  <c r="H223" i="20"/>
  <c r="G223" i="20"/>
  <c r="D313" i="20"/>
  <c r="G312" i="20"/>
  <c r="H312" i="20"/>
  <c r="D129" i="13"/>
  <c r="G128" i="13"/>
  <c r="E133" i="20"/>
  <c r="F133" i="20" s="1"/>
  <c r="E561" i="13"/>
  <c r="F561" i="13" s="1"/>
  <c r="D562" i="13" s="1"/>
  <c r="G1113" i="20"/>
  <c r="E666" i="20"/>
  <c r="F666" i="20" s="1"/>
  <c r="D667" i="20" s="1"/>
  <c r="E579" i="20"/>
  <c r="F579" i="20" s="1"/>
  <c r="D580" i="20" s="1"/>
  <c r="E728" i="13"/>
  <c r="F728" i="13" s="1"/>
  <c r="H211" i="13"/>
  <c r="I211" i="13"/>
  <c r="H990" i="13"/>
  <c r="I990" i="13"/>
  <c r="J127" i="13"/>
  <c r="J638" i="13"/>
  <c r="J559" i="13"/>
  <c r="H578" i="20"/>
  <c r="I1023" i="20"/>
  <c r="H301" i="13"/>
  <c r="I301" i="13"/>
  <c r="E1197" i="20"/>
  <c r="F1197" i="20" s="1"/>
  <c r="E212" i="13"/>
  <c r="F212" i="13"/>
  <c r="D213" i="13" s="1"/>
  <c r="E991" i="13"/>
  <c r="F991" i="13" s="1"/>
  <c r="D992" i="13" s="1"/>
  <c r="E1114" i="20"/>
  <c r="F1114" i="20" s="1"/>
  <c r="D1115" i="20" s="1"/>
  <c r="I664" i="20"/>
  <c r="H665" i="20"/>
  <c r="G578" i="20"/>
  <c r="E1024" i="20"/>
  <c r="F1024" i="20" s="1"/>
  <c r="E302" i="13"/>
  <c r="F302" i="13" s="1"/>
  <c r="H381" i="13"/>
  <c r="I381" i="13"/>
  <c r="H901" i="13"/>
  <c r="I901" i="13"/>
  <c r="H1248" i="13"/>
  <c r="I1248" i="13"/>
  <c r="J1075" i="13"/>
  <c r="G560" i="13"/>
  <c r="J470" i="13"/>
  <c r="H1113" i="20"/>
  <c r="J812" i="13"/>
  <c r="C35" i="13"/>
  <c r="C35" i="20"/>
  <c r="B191" i="2"/>
  <c r="B192" i="2" s="1"/>
  <c r="B193" i="2" s="1"/>
  <c r="G665" i="20"/>
  <c r="H727" i="13"/>
  <c r="I727" i="13"/>
  <c r="I1196" i="20"/>
  <c r="E382" i="13"/>
  <c r="F382" i="13" s="1"/>
  <c r="E902" i="13"/>
  <c r="F902" i="13" s="1"/>
  <c r="E1249" i="13"/>
  <c r="F1249" i="13" s="1"/>
  <c r="D1250" i="13" s="1"/>
  <c r="E1342" i="13" l="1"/>
  <c r="F1342" i="13" s="1"/>
  <c r="H1340" i="13"/>
  <c r="I1340" i="13"/>
  <c r="G1341" i="13"/>
  <c r="D1025" i="20"/>
  <c r="E1025" i="20" s="1"/>
  <c r="F1025" i="20" s="1"/>
  <c r="D1026" i="20" s="1"/>
  <c r="H1024" i="20"/>
  <c r="I132" i="20"/>
  <c r="D1198" i="20"/>
  <c r="E1198" i="20" s="1"/>
  <c r="F1198" i="20" s="1"/>
  <c r="H1197" i="20"/>
  <c r="G1249" i="13"/>
  <c r="I1249" i="13" s="1"/>
  <c r="G666" i="20"/>
  <c r="G579" i="20"/>
  <c r="H1114" i="20"/>
  <c r="I931" i="20"/>
  <c r="J301" i="13"/>
  <c r="J990" i="13"/>
  <c r="I400" i="20"/>
  <c r="I1113" i="20"/>
  <c r="J211" i="13"/>
  <c r="I754" i="20"/>
  <c r="I488" i="20"/>
  <c r="D729" i="13"/>
  <c r="G728" i="13"/>
  <c r="D903" i="13"/>
  <c r="G902" i="13"/>
  <c r="D303" i="13"/>
  <c r="G302" i="13"/>
  <c r="D134" i="20"/>
  <c r="H133" i="20"/>
  <c r="G133" i="20"/>
  <c r="D383" i="13"/>
  <c r="G382" i="13"/>
  <c r="E199" i="2"/>
  <c r="B194" i="2"/>
  <c r="I665" i="20"/>
  <c r="E1115" i="20"/>
  <c r="F1115" i="20" s="1"/>
  <c r="D1116" i="20" s="1"/>
  <c r="G991" i="13"/>
  <c r="E562" i="13"/>
  <c r="F562" i="13" s="1"/>
  <c r="D563" i="13" s="1"/>
  <c r="E129" i="13"/>
  <c r="F129" i="13" s="1"/>
  <c r="D130" i="13" s="1"/>
  <c r="E755" i="20"/>
  <c r="F755" i="20" s="1"/>
  <c r="H813" i="13"/>
  <c r="I813" i="13"/>
  <c r="H471" i="13"/>
  <c r="I471" i="13"/>
  <c r="E489" i="20"/>
  <c r="F489" i="20" s="1"/>
  <c r="D490" i="20" s="1"/>
  <c r="J727" i="13"/>
  <c r="J1248" i="13"/>
  <c r="J381" i="13"/>
  <c r="G212" i="13"/>
  <c r="G1197" i="20"/>
  <c r="G561" i="13"/>
  <c r="I312" i="20"/>
  <c r="I223" i="20"/>
  <c r="E844" i="20"/>
  <c r="F844" i="20" s="1"/>
  <c r="E814" i="13"/>
  <c r="F814" i="13" s="1"/>
  <c r="D815" i="13" s="1"/>
  <c r="E472" i="13"/>
  <c r="F472" i="13" s="1"/>
  <c r="H639" i="13"/>
  <c r="I639" i="13"/>
  <c r="E401" i="20"/>
  <c r="F401" i="20" s="1"/>
  <c r="E992" i="13"/>
  <c r="F992" i="13" s="1"/>
  <c r="E213" i="13"/>
  <c r="F213" i="13" s="1"/>
  <c r="E580" i="20"/>
  <c r="F580" i="20" s="1"/>
  <c r="E667" i="20"/>
  <c r="F667" i="20" s="1"/>
  <c r="E224" i="20"/>
  <c r="F224" i="20" s="1"/>
  <c r="H1161" i="13"/>
  <c r="I1161" i="13"/>
  <c r="E640" i="13"/>
  <c r="F640" i="13" s="1"/>
  <c r="H1076" i="13"/>
  <c r="I1076" i="13"/>
  <c r="E1250" i="13"/>
  <c r="F1250" i="13" s="1"/>
  <c r="H560" i="13"/>
  <c r="I560" i="13"/>
  <c r="J901" i="13"/>
  <c r="G1024" i="20"/>
  <c r="G1114" i="20"/>
  <c r="I578" i="20"/>
  <c r="H579" i="20"/>
  <c r="H666" i="20"/>
  <c r="H128" i="13"/>
  <c r="I128" i="13"/>
  <c r="E313" i="20"/>
  <c r="F313" i="20" s="1"/>
  <c r="I843" i="20"/>
  <c r="E932" i="20"/>
  <c r="F932" i="20" s="1"/>
  <c r="E1162" i="13"/>
  <c r="F1162" i="13" s="1"/>
  <c r="D1163" i="13" s="1"/>
  <c r="E1077" i="13"/>
  <c r="F1077" i="13" s="1"/>
  <c r="D1343" i="13" l="1"/>
  <c r="G1342" i="13"/>
  <c r="H1342" i="13" s="1"/>
  <c r="H1249" i="13"/>
  <c r="J1249" i="13" s="1"/>
  <c r="I1342" i="13"/>
  <c r="I1341" i="13"/>
  <c r="H1341" i="13"/>
  <c r="E1343" i="13"/>
  <c r="F1343" i="13" s="1"/>
  <c r="J1340" i="13"/>
  <c r="I1197" i="20"/>
  <c r="I1024" i="20"/>
  <c r="I1114" i="20"/>
  <c r="I579" i="20"/>
  <c r="I666" i="20"/>
  <c r="D845" i="20"/>
  <c r="E845" i="20" s="1"/>
  <c r="F845" i="20" s="1"/>
  <c r="G844" i="20"/>
  <c r="D668" i="20"/>
  <c r="G667" i="20"/>
  <c r="D314" i="20"/>
  <c r="E314" i="20" s="1"/>
  <c r="F314" i="20" s="1"/>
  <c r="D315" i="20" s="1"/>
  <c r="G313" i="20"/>
  <c r="D1199" i="20"/>
  <c r="E1199" i="20" s="1"/>
  <c r="F1199" i="20" s="1"/>
  <c r="G1198" i="20"/>
  <c r="H1115" i="20"/>
  <c r="G1115" i="20"/>
  <c r="J1161" i="13"/>
  <c r="I133" i="20"/>
  <c r="J1076" i="13"/>
  <c r="J471" i="13"/>
  <c r="D641" i="13"/>
  <c r="G640" i="13"/>
  <c r="D1251" i="13"/>
  <c r="G1250" i="13"/>
  <c r="D993" i="13"/>
  <c r="G992" i="13"/>
  <c r="D756" i="20"/>
  <c r="G755" i="20"/>
  <c r="H755" i="20"/>
  <c r="D473" i="13"/>
  <c r="G472" i="13"/>
  <c r="D402" i="20"/>
  <c r="G401" i="20"/>
  <c r="H401" i="20"/>
  <c r="D933" i="20"/>
  <c r="G932" i="20"/>
  <c r="H932" i="20"/>
  <c r="D1078" i="13"/>
  <c r="G1077" i="13"/>
  <c r="D225" i="20"/>
  <c r="H224" i="20"/>
  <c r="G224" i="20"/>
  <c r="D581" i="20"/>
  <c r="H580" i="20"/>
  <c r="G580" i="20"/>
  <c r="D214" i="13"/>
  <c r="G213" i="13"/>
  <c r="E815" i="13"/>
  <c r="F815" i="13" s="1"/>
  <c r="D816" i="13" s="1"/>
  <c r="E668" i="20"/>
  <c r="H561" i="13"/>
  <c r="I561" i="13"/>
  <c r="E1026" i="20"/>
  <c r="F1026" i="20" s="1"/>
  <c r="D1027" i="20" s="1"/>
  <c r="G814" i="13"/>
  <c r="G489" i="20"/>
  <c r="G562" i="13"/>
  <c r="H1025" i="20"/>
  <c r="H382" i="13"/>
  <c r="I382" i="13"/>
  <c r="E134" i="20"/>
  <c r="F134" i="20" s="1"/>
  <c r="E903" i="13"/>
  <c r="F903" i="13" s="1"/>
  <c r="D904" i="13" s="1"/>
  <c r="E1163" i="13"/>
  <c r="F1163" i="13" s="1"/>
  <c r="D1164" i="13" s="1"/>
  <c r="H489" i="20"/>
  <c r="E130" i="13"/>
  <c r="F130" i="13" s="1"/>
  <c r="D131" i="13" s="1"/>
  <c r="H902" i="13"/>
  <c r="I902" i="13"/>
  <c r="G1162" i="13"/>
  <c r="H313" i="20"/>
  <c r="J128" i="13"/>
  <c r="J560" i="13"/>
  <c r="H667" i="20"/>
  <c r="H1198" i="20"/>
  <c r="J639" i="13"/>
  <c r="H844" i="20"/>
  <c r="H212" i="13"/>
  <c r="I212" i="13"/>
  <c r="J813" i="13"/>
  <c r="G129" i="13"/>
  <c r="E1116" i="20"/>
  <c r="F1116" i="20" s="1"/>
  <c r="D1117" i="20" s="1"/>
  <c r="G1025" i="20"/>
  <c r="D337" i="2"/>
  <c r="B195" i="2"/>
  <c r="E383" i="13"/>
  <c r="F383" i="13" s="1"/>
  <c r="H302" i="13"/>
  <c r="I302" i="13"/>
  <c r="H728" i="13"/>
  <c r="I728" i="13"/>
  <c r="E490" i="20"/>
  <c r="F490" i="20" s="1"/>
  <c r="D491" i="20" s="1"/>
  <c r="E563" i="13"/>
  <c r="F563" i="13" s="1"/>
  <c r="D564" i="13" s="1"/>
  <c r="H991" i="13"/>
  <c r="I991" i="13"/>
  <c r="E303" i="13"/>
  <c r="F303" i="13" s="1"/>
  <c r="D304" i="13" s="1"/>
  <c r="E729" i="13"/>
  <c r="F729" i="13" s="1"/>
  <c r="F668" i="20" l="1"/>
  <c r="D669" i="20" s="1"/>
  <c r="D1344" i="13"/>
  <c r="E1344" i="13" s="1"/>
  <c r="F1344" i="13" s="1"/>
  <c r="D1345" i="13" s="1"/>
  <c r="G1343" i="13"/>
  <c r="H1343" i="13" s="1"/>
  <c r="I1343" i="13"/>
  <c r="J1341" i="13"/>
  <c r="J1342" i="13"/>
  <c r="I844" i="20"/>
  <c r="H1026" i="20"/>
  <c r="I313" i="20"/>
  <c r="D1200" i="20"/>
  <c r="E1200" i="20" s="1"/>
  <c r="F1200" i="20" s="1"/>
  <c r="D1201" i="20" s="1"/>
  <c r="H1199" i="20"/>
  <c r="G490" i="20"/>
  <c r="I1198" i="20"/>
  <c r="I667" i="20"/>
  <c r="I1115" i="20"/>
  <c r="J561" i="13"/>
  <c r="J902" i="13"/>
  <c r="I401" i="20"/>
  <c r="J991" i="13"/>
  <c r="J212" i="13"/>
  <c r="J382" i="13"/>
  <c r="I580" i="20"/>
  <c r="D730" i="13"/>
  <c r="G729" i="13"/>
  <c r="D384" i="13"/>
  <c r="G383" i="13"/>
  <c r="D846" i="20"/>
  <c r="G845" i="20"/>
  <c r="H845" i="20"/>
  <c r="D135" i="20"/>
  <c r="G134" i="20"/>
  <c r="H134" i="20"/>
  <c r="E564" i="13"/>
  <c r="F564" i="13" s="1"/>
  <c r="E1117" i="20"/>
  <c r="F1117" i="20" s="1"/>
  <c r="D1118" i="20" s="1"/>
  <c r="E904" i="13"/>
  <c r="F904" i="13" s="1"/>
  <c r="I1025" i="20"/>
  <c r="E669" i="20"/>
  <c r="F669" i="20" s="1"/>
  <c r="E315" i="20"/>
  <c r="F315" i="20" s="1"/>
  <c r="D316" i="20" s="1"/>
  <c r="E816" i="13"/>
  <c r="F816" i="13" s="1"/>
  <c r="D817" i="13" s="1"/>
  <c r="E225" i="20"/>
  <c r="F225" i="20" s="1"/>
  <c r="E402" i="20"/>
  <c r="F402" i="20" s="1"/>
  <c r="H1250" i="13"/>
  <c r="I1250" i="13"/>
  <c r="J302" i="13"/>
  <c r="H1116" i="20"/>
  <c r="H129" i="13"/>
  <c r="I129" i="13"/>
  <c r="H1162" i="13"/>
  <c r="I1162" i="13"/>
  <c r="G130" i="13"/>
  <c r="G1199" i="20"/>
  <c r="G1163" i="13"/>
  <c r="H562" i="13"/>
  <c r="I562" i="13"/>
  <c r="G1026" i="20"/>
  <c r="H213" i="13"/>
  <c r="I213" i="13"/>
  <c r="E581" i="20"/>
  <c r="F581" i="20" s="1"/>
  <c r="H1077" i="13"/>
  <c r="I1077" i="13"/>
  <c r="E933" i="20"/>
  <c r="F933" i="20" s="1"/>
  <c r="D934" i="20" s="1"/>
  <c r="H472" i="13"/>
  <c r="I472" i="13"/>
  <c r="E756" i="20"/>
  <c r="F756" i="20" s="1"/>
  <c r="E1251" i="13"/>
  <c r="F1251" i="13" s="1"/>
  <c r="E304" i="13"/>
  <c r="F304" i="13" s="1"/>
  <c r="E1027" i="20"/>
  <c r="F1027" i="20" s="1"/>
  <c r="D1028" i="20" s="1"/>
  <c r="H668" i="20"/>
  <c r="H314" i="20"/>
  <c r="E214" i="13"/>
  <c r="F214" i="13" s="1"/>
  <c r="E1078" i="13"/>
  <c r="F1078" i="13" s="1"/>
  <c r="E473" i="13"/>
  <c r="F473" i="13" s="1"/>
  <c r="H992" i="13"/>
  <c r="I992" i="13"/>
  <c r="H640" i="13"/>
  <c r="I640" i="13"/>
  <c r="E131" i="13"/>
  <c r="F131" i="13" s="1"/>
  <c r="D132" i="13" s="1"/>
  <c r="E1164" i="13"/>
  <c r="F1164" i="13" s="1"/>
  <c r="G563" i="13"/>
  <c r="E491" i="20"/>
  <c r="F491" i="20" s="1"/>
  <c r="D492" i="20" s="1"/>
  <c r="B196" i="2"/>
  <c r="E200" i="2"/>
  <c r="G1116" i="20"/>
  <c r="G303" i="13"/>
  <c r="H490" i="20"/>
  <c r="J728" i="13"/>
  <c r="I489" i="20"/>
  <c r="G903" i="13"/>
  <c r="H814" i="13"/>
  <c r="I814" i="13"/>
  <c r="G668" i="20"/>
  <c r="G314" i="20"/>
  <c r="G815" i="13"/>
  <c r="I224" i="20"/>
  <c r="I932" i="20"/>
  <c r="I755" i="20"/>
  <c r="E993" i="13"/>
  <c r="F993" i="13" s="1"/>
  <c r="E641" i="13"/>
  <c r="F641" i="13" s="1"/>
  <c r="D642" i="13" s="1"/>
  <c r="I1026" i="20" l="1"/>
  <c r="E1345" i="13"/>
  <c r="F1345" i="13" s="1"/>
  <c r="G1344" i="13"/>
  <c r="J1343" i="13"/>
  <c r="D403" i="20"/>
  <c r="H402" i="20"/>
  <c r="D1165" i="13"/>
  <c r="E1165" i="13" s="1"/>
  <c r="F1165" i="13" s="1"/>
  <c r="G1164" i="13"/>
  <c r="I1164" i="13" s="1"/>
  <c r="G1117" i="20"/>
  <c r="I1199" i="20"/>
  <c r="I490" i="20"/>
  <c r="G402" i="20"/>
  <c r="G315" i="20"/>
  <c r="J129" i="13"/>
  <c r="J1250" i="13"/>
  <c r="J814" i="13"/>
  <c r="J992" i="13"/>
  <c r="J472" i="13"/>
  <c r="J1077" i="13"/>
  <c r="I134" i="20"/>
  <c r="J640" i="13"/>
  <c r="I668" i="20"/>
  <c r="J213" i="13"/>
  <c r="J1162" i="13"/>
  <c r="I1116" i="20"/>
  <c r="I845" i="20"/>
  <c r="D1252" i="13"/>
  <c r="G1251" i="13"/>
  <c r="D994" i="13"/>
  <c r="G993" i="13"/>
  <c r="D582" i="20"/>
  <c r="H581" i="20"/>
  <c r="G581" i="20"/>
  <c r="D474" i="13"/>
  <c r="G473" i="13"/>
  <c r="D757" i="20"/>
  <c r="H756" i="20"/>
  <c r="G756" i="20"/>
  <c r="D226" i="20"/>
  <c r="G225" i="20"/>
  <c r="H225" i="20"/>
  <c r="D905" i="13"/>
  <c r="G904" i="13"/>
  <c r="D565" i="13"/>
  <c r="G564" i="13"/>
  <c r="D1079" i="13"/>
  <c r="G1078" i="13"/>
  <c r="D215" i="13"/>
  <c r="G214" i="13"/>
  <c r="D305" i="13"/>
  <c r="G304" i="13"/>
  <c r="D670" i="20"/>
  <c r="H669" i="20"/>
  <c r="G669" i="20"/>
  <c r="E642" i="13"/>
  <c r="F642" i="13" s="1"/>
  <c r="E492" i="20"/>
  <c r="F492" i="20" s="1"/>
  <c r="D493" i="20" s="1"/>
  <c r="E132" i="13"/>
  <c r="F132" i="13" s="1"/>
  <c r="E1201" i="20"/>
  <c r="F1201" i="20" s="1"/>
  <c r="E135" i="20"/>
  <c r="F135" i="20" s="1"/>
  <c r="D136" i="20" s="1"/>
  <c r="H383" i="13"/>
  <c r="I383" i="13"/>
  <c r="G641" i="13"/>
  <c r="H815" i="13"/>
  <c r="I815" i="13"/>
  <c r="B198" i="2"/>
  <c r="E201" i="2"/>
  <c r="H1027" i="20"/>
  <c r="H1200" i="20"/>
  <c r="H1163" i="13"/>
  <c r="I1163" i="13"/>
  <c r="G816" i="13"/>
  <c r="E316" i="20"/>
  <c r="F316" i="20" s="1"/>
  <c r="D317" i="20" s="1"/>
  <c r="E1118" i="20"/>
  <c r="F1118" i="20" s="1"/>
  <c r="E384" i="13"/>
  <c r="F384" i="13" s="1"/>
  <c r="E1028" i="20"/>
  <c r="F1028" i="20" s="1"/>
  <c r="H491" i="20"/>
  <c r="H933" i="20"/>
  <c r="E403" i="20"/>
  <c r="F403" i="20" s="1"/>
  <c r="H729" i="13"/>
  <c r="I729" i="13"/>
  <c r="E934" i="20"/>
  <c r="F934" i="20" s="1"/>
  <c r="D935" i="20" s="1"/>
  <c r="E817" i="13"/>
  <c r="F817" i="13" s="1"/>
  <c r="H903" i="13"/>
  <c r="I903" i="13"/>
  <c r="H303" i="13"/>
  <c r="I303" i="13"/>
  <c r="H563" i="13"/>
  <c r="I563" i="13"/>
  <c r="G1027" i="20"/>
  <c r="G1200" i="20"/>
  <c r="G491" i="20"/>
  <c r="G131" i="13"/>
  <c r="I314" i="20"/>
  <c r="G933" i="20"/>
  <c r="J562" i="13"/>
  <c r="H130" i="13"/>
  <c r="I130" i="13"/>
  <c r="H315" i="20"/>
  <c r="H1117" i="20"/>
  <c r="E846" i="20"/>
  <c r="F846" i="20" s="1"/>
  <c r="D847" i="20" s="1"/>
  <c r="E730" i="13"/>
  <c r="F730" i="13" s="1"/>
  <c r="D731" i="13" s="1"/>
  <c r="D1346" i="13" l="1"/>
  <c r="G1345" i="13"/>
  <c r="H1345" i="13"/>
  <c r="I1345" i="13"/>
  <c r="E1346" i="13"/>
  <c r="F1346" i="13"/>
  <c r="D1347" i="13" s="1"/>
  <c r="I1344" i="13"/>
  <c r="H1344" i="13"/>
  <c r="I402" i="20"/>
  <c r="H1164" i="13"/>
  <c r="J1164" i="13" s="1"/>
  <c r="I1117" i="20"/>
  <c r="I315" i="20"/>
  <c r="D133" i="13"/>
  <c r="E133" i="13" s="1"/>
  <c r="F133" i="13" s="1"/>
  <c r="D134" i="13" s="1"/>
  <c r="G132" i="13"/>
  <c r="H132" i="13" s="1"/>
  <c r="D404" i="20"/>
  <c r="E404" i="20" s="1"/>
  <c r="F404" i="20" s="1"/>
  <c r="H403" i="20"/>
  <c r="G403" i="20"/>
  <c r="D1166" i="13"/>
  <c r="E1166" i="13" s="1"/>
  <c r="F1166" i="13" s="1"/>
  <c r="G1165" i="13"/>
  <c r="H1165" i="13" s="1"/>
  <c r="J130" i="13"/>
  <c r="J815" i="13"/>
  <c r="J383" i="13"/>
  <c r="I225" i="20"/>
  <c r="I933" i="20"/>
  <c r="I491" i="20"/>
  <c r="J563" i="13"/>
  <c r="J903" i="13"/>
  <c r="I1200" i="20"/>
  <c r="D1029" i="20"/>
  <c r="G1028" i="20"/>
  <c r="H1028" i="20"/>
  <c r="D1202" i="20"/>
  <c r="G1201" i="20"/>
  <c r="H1201" i="20"/>
  <c r="D1119" i="20"/>
  <c r="G1118" i="20"/>
  <c r="H1118" i="20"/>
  <c r="D818" i="13"/>
  <c r="G817" i="13"/>
  <c r="D385" i="13"/>
  <c r="G384" i="13"/>
  <c r="D643" i="13"/>
  <c r="G642" i="13"/>
  <c r="E731" i="13"/>
  <c r="F731" i="13" s="1"/>
  <c r="E847" i="20"/>
  <c r="F847" i="20" s="1"/>
  <c r="D848" i="20" s="1"/>
  <c r="E935" i="20"/>
  <c r="F935" i="20" s="1"/>
  <c r="D936" i="20" s="1"/>
  <c r="E317" i="20"/>
  <c r="F317" i="20" s="1"/>
  <c r="D318" i="20" s="1"/>
  <c r="E1079" i="13"/>
  <c r="F1079" i="13" s="1"/>
  <c r="E905" i="13"/>
  <c r="F905" i="13" s="1"/>
  <c r="D906" i="13" s="1"/>
  <c r="H993" i="13"/>
  <c r="I993" i="13"/>
  <c r="H492" i="20"/>
  <c r="I669" i="20"/>
  <c r="H564" i="13"/>
  <c r="I564" i="13"/>
  <c r="I756" i="20"/>
  <c r="E994" i="13"/>
  <c r="F994" i="13" s="1"/>
  <c r="B199" i="2"/>
  <c r="B200" i="2" s="1"/>
  <c r="B201" i="2" s="1"/>
  <c r="B203" i="2" s="1"/>
  <c r="E136" i="20"/>
  <c r="F136" i="20" s="1"/>
  <c r="D137" i="20" s="1"/>
  <c r="E493" i="20"/>
  <c r="F493" i="20" s="1"/>
  <c r="D494" i="20" s="1"/>
  <c r="E305" i="13"/>
  <c r="F305" i="13" s="1"/>
  <c r="D306" i="13" s="1"/>
  <c r="E474" i="13"/>
  <c r="F474" i="13" s="1"/>
  <c r="G730" i="13"/>
  <c r="H131" i="13"/>
  <c r="I131" i="13"/>
  <c r="H214" i="13"/>
  <c r="I214" i="13"/>
  <c r="H846" i="20"/>
  <c r="H934" i="20"/>
  <c r="J729" i="13"/>
  <c r="H316" i="20"/>
  <c r="H816" i="13"/>
  <c r="I816" i="13"/>
  <c r="I1027" i="20"/>
  <c r="H135" i="20"/>
  <c r="G492" i="20"/>
  <c r="E670" i="20"/>
  <c r="F670" i="20" s="1"/>
  <c r="E215" i="13"/>
  <c r="F215" i="13" s="1"/>
  <c r="E565" i="13"/>
  <c r="F565" i="13" s="1"/>
  <c r="D566" i="13" s="1"/>
  <c r="E757" i="20"/>
  <c r="F757" i="20" s="1"/>
  <c r="I581" i="20"/>
  <c r="H1251" i="13"/>
  <c r="I1251" i="13"/>
  <c r="G846" i="20"/>
  <c r="J303" i="13"/>
  <c r="G934" i="20"/>
  <c r="G316" i="20"/>
  <c r="J1163" i="13"/>
  <c r="H641" i="13"/>
  <c r="I641" i="13"/>
  <c r="G135" i="20"/>
  <c r="H304" i="13"/>
  <c r="I304" i="13"/>
  <c r="H1078" i="13"/>
  <c r="I1078" i="13"/>
  <c r="H904" i="13"/>
  <c r="I904" i="13"/>
  <c r="E226" i="20"/>
  <c r="F226" i="20" s="1"/>
  <c r="H473" i="13"/>
  <c r="I473" i="13"/>
  <c r="E582" i="20"/>
  <c r="F582" i="20" s="1"/>
  <c r="D583" i="20" s="1"/>
  <c r="E1252" i="13"/>
  <c r="F1252" i="13" s="1"/>
  <c r="I1165" i="13" l="1"/>
  <c r="J1165" i="13" s="1"/>
  <c r="J1345" i="13"/>
  <c r="J1344" i="13"/>
  <c r="E1347" i="13"/>
  <c r="F1347" i="13" s="1"/>
  <c r="G1346" i="13"/>
  <c r="I132" i="13"/>
  <c r="J132" i="13" s="1"/>
  <c r="I403" i="20"/>
  <c r="D227" i="20"/>
  <c r="E227" i="20" s="1"/>
  <c r="F227" i="20" s="1"/>
  <c r="G226" i="20"/>
  <c r="D995" i="13"/>
  <c r="E995" i="13" s="1"/>
  <c r="F995" i="13" s="1"/>
  <c r="G994" i="13"/>
  <c r="H994" i="13" s="1"/>
  <c r="D475" i="13"/>
  <c r="E475" i="13" s="1"/>
  <c r="F475" i="13" s="1"/>
  <c r="G474" i="13"/>
  <c r="H474" i="13" s="1"/>
  <c r="G305" i="13"/>
  <c r="H305" i="13" s="1"/>
  <c r="J816" i="13"/>
  <c r="I1028" i="20"/>
  <c r="J1078" i="13"/>
  <c r="J473" i="13"/>
  <c r="J131" i="13"/>
  <c r="I1201" i="20"/>
  <c r="J564" i="13"/>
  <c r="J993" i="13"/>
  <c r="D732" i="13"/>
  <c r="G731" i="13"/>
  <c r="D1167" i="13"/>
  <c r="G1166" i="13"/>
  <c r="D1253" i="13"/>
  <c r="G1252" i="13"/>
  <c r="D405" i="20"/>
  <c r="H404" i="20"/>
  <c r="G404" i="20"/>
  <c r="D216" i="13"/>
  <c r="G215" i="13"/>
  <c r="D758" i="20"/>
  <c r="G757" i="20"/>
  <c r="H757" i="20"/>
  <c r="D671" i="20"/>
  <c r="H670" i="20"/>
  <c r="G670" i="20"/>
  <c r="D1080" i="13"/>
  <c r="G1079" i="13"/>
  <c r="E385" i="13"/>
  <c r="F385" i="13" s="1"/>
  <c r="D386" i="13" s="1"/>
  <c r="G133" i="13"/>
  <c r="I934" i="20"/>
  <c r="E306" i="13"/>
  <c r="F306" i="13" s="1"/>
  <c r="H642" i="13"/>
  <c r="I642" i="13"/>
  <c r="H817" i="13"/>
  <c r="I817" i="13"/>
  <c r="E1119" i="20"/>
  <c r="F1119" i="20" s="1"/>
  <c r="D1120" i="20" s="1"/>
  <c r="E137" i="20"/>
  <c r="F137" i="20" s="1"/>
  <c r="D138" i="20" s="1"/>
  <c r="E318" i="20"/>
  <c r="F318" i="20" s="1"/>
  <c r="E848" i="20"/>
  <c r="F848" i="20" s="1"/>
  <c r="D849" i="20" s="1"/>
  <c r="E1202" i="20"/>
  <c r="F1202" i="20" s="1"/>
  <c r="G582" i="20"/>
  <c r="J641" i="13"/>
  <c r="J1251" i="13"/>
  <c r="G565" i="13"/>
  <c r="I846" i="20"/>
  <c r="H493" i="20"/>
  <c r="H136" i="20"/>
  <c r="E203" i="2"/>
  <c r="H317" i="20"/>
  <c r="H935" i="20"/>
  <c r="H847" i="20"/>
  <c r="E643" i="13"/>
  <c r="F643" i="13" s="1"/>
  <c r="D644" i="13" s="1"/>
  <c r="E818" i="13"/>
  <c r="F818" i="13" s="1"/>
  <c r="E583" i="20"/>
  <c r="F583" i="20" s="1"/>
  <c r="E134" i="13"/>
  <c r="F134" i="13" s="1"/>
  <c r="D135" i="13" s="1"/>
  <c r="E494" i="20"/>
  <c r="F494" i="20" s="1"/>
  <c r="E906" i="13"/>
  <c r="F906" i="13" s="1"/>
  <c r="E936" i="20"/>
  <c r="F936" i="20" s="1"/>
  <c r="D937" i="20" s="1"/>
  <c r="H582" i="20"/>
  <c r="E566" i="13"/>
  <c r="F566" i="13" s="1"/>
  <c r="H226" i="20"/>
  <c r="J904" i="13"/>
  <c r="J304" i="13"/>
  <c r="I135" i="20"/>
  <c r="I316" i="20"/>
  <c r="J214" i="13"/>
  <c r="H730" i="13"/>
  <c r="I730" i="13"/>
  <c r="G493" i="20"/>
  <c r="G136" i="20"/>
  <c r="C50" i="13"/>
  <c r="B205" i="2"/>
  <c r="C50" i="20"/>
  <c r="E37" i="2"/>
  <c r="I492" i="20"/>
  <c r="G905" i="13"/>
  <c r="G317" i="20"/>
  <c r="G935" i="20"/>
  <c r="G847" i="20"/>
  <c r="H384" i="13"/>
  <c r="I384" i="13"/>
  <c r="I1118" i="20"/>
  <c r="E1029" i="20"/>
  <c r="F1029" i="20" s="1"/>
  <c r="D1348" i="13" l="1"/>
  <c r="G1347" i="13"/>
  <c r="H1347" i="13" s="1"/>
  <c r="I305" i="13"/>
  <c r="J305" i="13" s="1"/>
  <c r="E1348" i="13"/>
  <c r="F1348" i="13" s="1"/>
  <c r="D1349" i="13" s="1"/>
  <c r="H1346" i="13"/>
  <c r="I1346" i="13"/>
  <c r="I994" i="13"/>
  <c r="J994" i="13" s="1"/>
  <c r="I474" i="13"/>
  <c r="J474" i="13" s="1"/>
  <c r="I226" i="20"/>
  <c r="D228" i="20"/>
  <c r="E228" i="20" s="1"/>
  <c r="F228" i="20" s="1"/>
  <c r="H227" i="20"/>
  <c r="D495" i="20"/>
  <c r="E495" i="20" s="1"/>
  <c r="F495" i="20" s="1"/>
  <c r="H494" i="20"/>
  <c r="D1203" i="20"/>
  <c r="E1203" i="20" s="1"/>
  <c r="F1203" i="20" s="1"/>
  <c r="D1204" i="20" s="1"/>
  <c r="H1202" i="20"/>
  <c r="H848" i="20"/>
  <c r="H137" i="20"/>
  <c r="J642" i="13"/>
  <c r="I582" i="20"/>
  <c r="I670" i="20"/>
  <c r="I404" i="20"/>
  <c r="J384" i="13"/>
  <c r="D584" i="20"/>
  <c r="G583" i="20"/>
  <c r="H583" i="20"/>
  <c r="D567" i="13"/>
  <c r="G566" i="13"/>
  <c r="D819" i="13"/>
  <c r="G818" i="13"/>
  <c r="D996" i="13"/>
  <c r="G995" i="13"/>
  <c r="D476" i="13"/>
  <c r="G475" i="13"/>
  <c r="D1030" i="20"/>
  <c r="H1029" i="20"/>
  <c r="G1029" i="20"/>
  <c r="D319" i="20"/>
  <c r="G318" i="20"/>
  <c r="H318" i="20"/>
  <c r="D907" i="13"/>
  <c r="G906" i="13"/>
  <c r="D307" i="13"/>
  <c r="G306" i="13"/>
  <c r="G643" i="13"/>
  <c r="I317" i="20"/>
  <c r="E849" i="20"/>
  <c r="F849" i="20" s="1"/>
  <c r="E138" i="20"/>
  <c r="F138" i="20" s="1"/>
  <c r="D139" i="20" s="1"/>
  <c r="G1119" i="20"/>
  <c r="E386" i="13"/>
  <c r="F386" i="13" s="1"/>
  <c r="E758" i="20"/>
  <c r="F758" i="20" s="1"/>
  <c r="H1166" i="13"/>
  <c r="I1166" i="13"/>
  <c r="H565" i="13"/>
  <c r="I565" i="13"/>
  <c r="E1120" i="20"/>
  <c r="F1120" i="20" s="1"/>
  <c r="H133" i="13"/>
  <c r="I133" i="13"/>
  <c r="H1079" i="13"/>
  <c r="I1079" i="13"/>
  <c r="E671" i="20"/>
  <c r="F671" i="20" s="1"/>
  <c r="H215" i="13"/>
  <c r="I215" i="13"/>
  <c r="E405" i="20"/>
  <c r="F405" i="20" s="1"/>
  <c r="D406" i="20" s="1"/>
  <c r="E1167" i="13"/>
  <c r="F1167" i="13" s="1"/>
  <c r="D1168" i="13" s="1"/>
  <c r="C49" i="13"/>
  <c r="C49" i="20"/>
  <c r="B207" i="2"/>
  <c r="E198" i="2"/>
  <c r="J730" i="13"/>
  <c r="G227" i="20"/>
  <c r="H936" i="20"/>
  <c r="G494" i="20"/>
  <c r="G134" i="13"/>
  <c r="I847" i="20"/>
  <c r="I136" i="20"/>
  <c r="G1202" i="20"/>
  <c r="G848" i="20"/>
  <c r="G137" i="20"/>
  <c r="G385" i="13"/>
  <c r="E1080" i="13"/>
  <c r="F1080" i="13" s="1"/>
  <c r="I757" i="20"/>
  <c r="E216" i="13"/>
  <c r="F216" i="13" s="1"/>
  <c r="H1252" i="13"/>
  <c r="I1252" i="13"/>
  <c r="H731" i="13"/>
  <c r="I731" i="13"/>
  <c r="H905" i="13"/>
  <c r="I905" i="13"/>
  <c r="E937" i="20"/>
  <c r="F937" i="20" s="1"/>
  <c r="D938" i="20" s="1"/>
  <c r="E135" i="13"/>
  <c r="F135" i="13" s="1"/>
  <c r="E644" i="13"/>
  <c r="F644" i="13" s="1"/>
  <c r="D645" i="13" s="1"/>
  <c r="G936" i="20"/>
  <c r="I935" i="20"/>
  <c r="I493" i="20"/>
  <c r="H1119" i="20"/>
  <c r="J817" i="13"/>
  <c r="E1253" i="13"/>
  <c r="F1253" i="13" s="1"/>
  <c r="D1254" i="13" s="1"/>
  <c r="E732" i="13"/>
  <c r="F732" i="13" s="1"/>
  <c r="I1347" i="13" l="1"/>
  <c r="J1347" i="13" s="1"/>
  <c r="G1348" i="13"/>
  <c r="I1348" i="13" s="1"/>
  <c r="J1346" i="13"/>
  <c r="E1349" i="13"/>
  <c r="F1349" i="13" s="1"/>
  <c r="I227" i="20"/>
  <c r="I1202" i="20"/>
  <c r="I848" i="20"/>
  <c r="I137" i="20"/>
  <c r="D733" i="13"/>
  <c r="E733" i="13" s="1"/>
  <c r="F733" i="13" s="1"/>
  <c r="G732" i="13"/>
  <c r="I732" i="13" s="1"/>
  <c r="D229" i="20"/>
  <c r="E229" i="20" s="1"/>
  <c r="F229" i="20" s="1"/>
  <c r="G228" i="20"/>
  <c r="I494" i="20"/>
  <c r="J1079" i="13"/>
  <c r="J731" i="13"/>
  <c r="J565" i="13"/>
  <c r="I583" i="20"/>
  <c r="D1081" i="13"/>
  <c r="G1080" i="13"/>
  <c r="D759" i="20"/>
  <c r="G758" i="20"/>
  <c r="H758" i="20"/>
  <c r="D217" i="13"/>
  <c r="G216" i="13"/>
  <c r="D672" i="20"/>
  <c r="H671" i="20"/>
  <c r="G671" i="20"/>
  <c r="D387" i="13"/>
  <c r="G386" i="13"/>
  <c r="D850" i="20"/>
  <c r="G849" i="20"/>
  <c r="H849" i="20"/>
  <c r="D136" i="13"/>
  <c r="G135" i="13"/>
  <c r="D1121" i="20"/>
  <c r="H1120" i="20"/>
  <c r="G1120" i="20"/>
  <c r="D496" i="20"/>
  <c r="H495" i="20"/>
  <c r="G495" i="20"/>
  <c r="E1254" i="13"/>
  <c r="F1254" i="13" s="1"/>
  <c r="E645" i="13"/>
  <c r="F645" i="13" s="1"/>
  <c r="I936" i="20"/>
  <c r="E1168" i="13"/>
  <c r="F1168" i="13" s="1"/>
  <c r="E307" i="13"/>
  <c r="F307" i="13" s="1"/>
  <c r="D308" i="13" s="1"/>
  <c r="E1030" i="20"/>
  <c r="F1030" i="20" s="1"/>
  <c r="E996" i="13"/>
  <c r="F996" i="13" s="1"/>
  <c r="I1119" i="20"/>
  <c r="H138" i="20"/>
  <c r="H1203" i="20"/>
  <c r="H906" i="13"/>
  <c r="I906" i="13"/>
  <c r="E319" i="20"/>
  <c r="F319" i="20" s="1"/>
  <c r="H475" i="13"/>
  <c r="I475" i="13"/>
  <c r="H818" i="13"/>
  <c r="I818" i="13"/>
  <c r="E938" i="20"/>
  <c r="F938" i="20" s="1"/>
  <c r="H385" i="13"/>
  <c r="I385" i="13"/>
  <c r="B209" i="2"/>
  <c r="D300" i="2"/>
  <c r="E406" i="20"/>
  <c r="F406" i="20" s="1"/>
  <c r="E139" i="20"/>
  <c r="F139" i="20" s="1"/>
  <c r="D140" i="20" s="1"/>
  <c r="E1204" i="20"/>
  <c r="F1204" i="20" s="1"/>
  <c r="E567" i="13"/>
  <c r="F567" i="13" s="1"/>
  <c r="D568" i="13" s="1"/>
  <c r="G1253" i="13"/>
  <c r="H937" i="20"/>
  <c r="H134" i="13"/>
  <c r="I134" i="13"/>
  <c r="H405" i="20"/>
  <c r="J215" i="13"/>
  <c r="J133" i="13"/>
  <c r="G138" i="20"/>
  <c r="G1203" i="20"/>
  <c r="H643" i="13"/>
  <c r="I643" i="13"/>
  <c r="E907" i="13"/>
  <c r="F907" i="13" s="1"/>
  <c r="D908" i="13" s="1"/>
  <c r="E476" i="13"/>
  <c r="F476" i="13" s="1"/>
  <c r="D477" i="13" s="1"/>
  <c r="E819" i="13"/>
  <c r="F819" i="13" s="1"/>
  <c r="D820" i="13" s="1"/>
  <c r="H732" i="13"/>
  <c r="G644" i="13"/>
  <c r="G937" i="20"/>
  <c r="J905" i="13"/>
  <c r="J1252" i="13"/>
  <c r="G1167" i="13"/>
  <c r="G405" i="20"/>
  <c r="J1166" i="13"/>
  <c r="H228" i="20"/>
  <c r="H306" i="13"/>
  <c r="I306" i="13"/>
  <c r="I318" i="20"/>
  <c r="I1029" i="20"/>
  <c r="H995" i="13"/>
  <c r="I995" i="13"/>
  <c r="H566" i="13"/>
  <c r="I566" i="13"/>
  <c r="E584" i="20"/>
  <c r="F584" i="20" s="1"/>
  <c r="H1348" i="13" l="1"/>
  <c r="J1348" i="13" s="1"/>
  <c r="D1350" i="13"/>
  <c r="G1349" i="13"/>
  <c r="D407" i="20"/>
  <c r="E407" i="20" s="1"/>
  <c r="F407" i="20" s="1"/>
  <c r="H406" i="20"/>
  <c r="H139" i="20"/>
  <c r="D230" i="20"/>
  <c r="H229" i="20"/>
  <c r="G229" i="20"/>
  <c r="G139" i="20"/>
  <c r="G406" i="20"/>
  <c r="I228" i="20"/>
  <c r="I671" i="20"/>
  <c r="J995" i="13"/>
  <c r="J306" i="13"/>
  <c r="J906" i="13"/>
  <c r="J134" i="13"/>
  <c r="J818" i="13"/>
  <c r="I138" i="20"/>
  <c r="I405" i="20"/>
  <c r="I849" i="20"/>
  <c r="D1255" i="13"/>
  <c r="G1254" i="13"/>
  <c r="D939" i="20"/>
  <c r="G938" i="20"/>
  <c r="H938" i="20"/>
  <c r="D1169" i="13"/>
  <c r="G1168" i="13"/>
  <c r="D1205" i="20"/>
  <c r="G1204" i="20"/>
  <c r="H1204" i="20"/>
  <c r="D997" i="13"/>
  <c r="G996" i="13"/>
  <c r="D320" i="20"/>
  <c r="G319" i="20"/>
  <c r="H319" i="20"/>
  <c r="D1031" i="20"/>
  <c r="G1030" i="20"/>
  <c r="H1030" i="20"/>
  <c r="D734" i="13"/>
  <c r="G733" i="13"/>
  <c r="D585" i="20"/>
  <c r="H584" i="20"/>
  <c r="G584" i="20"/>
  <c r="D646" i="13"/>
  <c r="G645" i="13"/>
  <c r="H386" i="13"/>
  <c r="I386" i="13"/>
  <c r="E672" i="20"/>
  <c r="F672" i="20" s="1"/>
  <c r="G819" i="13"/>
  <c r="E230" i="20"/>
  <c r="F230" i="20" s="1"/>
  <c r="I1120" i="20"/>
  <c r="E387" i="13"/>
  <c r="F387" i="13" s="1"/>
  <c r="D388" i="13" s="1"/>
  <c r="H216" i="13"/>
  <c r="I216" i="13"/>
  <c r="E759" i="20"/>
  <c r="F759" i="20" s="1"/>
  <c r="D760" i="20" s="1"/>
  <c r="E477" i="13"/>
  <c r="F477" i="13" s="1"/>
  <c r="D478" i="13" s="1"/>
  <c r="E908" i="13"/>
  <c r="F908" i="13" s="1"/>
  <c r="H1253" i="13"/>
  <c r="I1253" i="13"/>
  <c r="E308" i="13"/>
  <c r="F308" i="13" s="1"/>
  <c r="E136" i="13"/>
  <c r="F136" i="13" s="1"/>
  <c r="E568" i="13"/>
  <c r="F568" i="13" s="1"/>
  <c r="D569" i="13" s="1"/>
  <c r="H1167" i="13"/>
  <c r="I1167" i="13"/>
  <c r="H644" i="13"/>
  <c r="I644" i="13"/>
  <c r="G476" i="13"/>
  <c r="J643" i="13"/>
  <c r="D211" i="2"/>
  <c r="B211" i="2"/>
  <c r="G307" i="13"/>
  <c r="I495" i="20"/>
  <c r="E1121" i="20"/>
  <c r="F1121" i="20" s="1"/>
  <c r="E217" i="13"/>
  <c r="F217" i="13" s="1"/>
  <c r="D218" i="13" s="1"/>
  <c r="H1080" i="13"/>
  <c r="I1080" i="13"/>
  <c r="J566" i="13"/>
  <c r="J732" i="13"/>
  <c r="E820" i="13"/>
  <c r="F820" i="13" s="1"/>
  <c r="G907" i="13"/>
  <c r="I937" i="20"/>
  <c r="G567" i="13"/>
  <c r="E140" i="20"/>
  <c r="F140" i="20" s="1"/>
  <c r="J385" i="13"/>
  <c r="J475" i="13"/>
  <c r="I1203" i="20"/>
  <c r="E496" i="20"/>
  <c r="F496" i="20" s="1"/>
  <c r="D497" i="20" s="1"/>
  <c r="H135" i="13"/>
  <c r="I135" i="13"/>
  <c r="E850" i="20"/>
  <c r="F850" i="20" s="1"/>
  <c r="I758" i="20"/>
  <c r="E1081" i="13"/>
  <c r="F1081" i="13" s="1"/>
  <c r="D1082" i="13" s="1"/>
  <c r="I1349" i="13" l="1"/>
  <c r="H1349" i="13"/>
  <c r="E1350" i="13"/>
  <c r="F1350" i="13" s="1"/>
  <c r="D1351" i="13" s="1"/>
  <c r="I139" i="20"/>
  <c r="I406" i="20"/>
  <c r="I229" i="20"/>
  <c r="D851" i="20"/>
  <c r="G850" i="20"/>
  <c r="G217" i="13"/>
  <c r="H217" i="13" s="1"/>
  <c r="H496" i="20"/>
  <c r="J1080" i="13"/>
  <c r="J644" i="13"/>
  <c r="J1253" i="13"/>
  <c r="I1030" i="20"/>
  <c r="J216" i="13"/>
  <c r="J386" i="13"/>
  <c r="I319" i="20"/>
  <c r="I1204" i="20"/>
  <c r="D909" i="13"/>
  <c r="G908" i="13"/>
  <c r="D309" i="13"/>
  <c r="G308" i="13"/>
  <c r="D137" i="13"/>
  <c r="G136" i="13"/>
  <c r="D673" i="20"/>
  <c r="G672" i="20"/>
  <c r="H672" i="20"/>
  <c r="D408" i="20"/>
  <c r="G407" i="20"/>
  <c r="H407" i="20"/>
  <c r="D231" i="20"/>
  <c r="G230" i="20"/>
  <c r="H230" i="20"/>
  <c r="D141" i="20"/>
  <c r="G140" i="20"/>
  <c r="H140" i="20"/>
  <c r="D821" i="13"/>
  <c r="G820" i="13"/>
  <c r="D1122" i="20"/>
  <c r="H1121" i="20"/>
  <c r="G1121" i="20"/>
  <c r="G1081" i="13"/>
  <c r="E851" i="20"/>
  <c r="F851" i="20" s="1"/>
  <c r="H850" i="20"/>
  <c r="J135" i="13"/>
  <c r="H907" i="13"/>
  <c r="I907" i="13"/>
  <c r="H307" i="13"/>
  <c r="I307" i="13"/>
  <c r="H476" i="13"/>
  <c r="I476" i="13"/>
  <c r="G477" i="13"/>
  <c r="G387" i="13"/>
  <c r="H819" i="13"/>
  <c r="I819" i="13"/>
  <c r="E646" i="13"/>
  <c r="F646" i="13" s="1"/>
  <c r="H733" i="13"/>
  <c r="I733" i="13"/>
  <c r="E1031" i="20"/>
  <c r="F1031" i="20" s="1"/>
  <c r="H996" i="13"/>
  <c r="I996" i="13"/>
  <c r="E1205" i="20"/>
  <c r="F1205" i="20" s="1"/>
  <c r="E497" i="20"/>
  <c r="F497" i="20" s="1"/>
  <c r="E218" i="13"/>
  <c r="F218" i="13" s="1"/>
  <c r="B213" i="2"/>
  <c r="D214" i="2"/>
  <c r="E569" i="13"/>
  <c r="F569" i="13" s="1"/>
  <c r="D570" i="13" s="1"/>
  <c r="E478" i="13"/>
  <c r="F478" i="13" s="1"/>
  <c r="D479" i="13" s="1"/>
  <c r="E760" i="20"/>
  <c r="F760" i="20" s="1"/>
  <c r="D761" i="20" s="1"/>
  <c r="E388" i="13"/>
  <c r="F388" i="13" s="1"/>
  <c r="E734" i="13"/>
  <c r="F734" i="13" s="1"/>
  <c r="E997" i="13"/>
  <c r="F997" i="13" s="1"/>
  <c r="H1168" i="13"/>
  <c r="I1168" i="13"/>
  <c r="E939" i="20"/>
  <c r="F939" i="20" s="1"/>
  <c r="H759" i="20"/>
  <c r="I584" i="20"/>
  <c r="E1169" i="13"/>
  <c r="F1169" i="13" s="1"/>
  <c r="H1254" i="13"/>
  <c r="I1254" i="13"/>
  <c r="E1082" i="13"/>
  <c r="F1082" i="13" s="1"/>
  <c r="H567" i="13"/>
  <c r="I567" i="13"/>
  <c r="G496" i="20"/>
  <c r="J1167" i="13"/>
  <c r="G568" i="13"/>
  <c r="G759" i="20"/>
  <c r="H645" i="13"/>
  <c r="I645" i="13"/>
  <c r="E585" i="20"/>
  <c r="F585" i="20" s="1"/>
  <c r="E320" i="20"/>
  <c r="F320" i="20" s="1"/>
  <c r="D321" i="20" s="1"/>
  <c r="I938" i="20"/>
  <c r="E1255" i="13"/>
  <c r="F1255" i="13" s="1"/>
  <c r="E1351" i="13" l="1"/>
  <c r="F1351" i="13" s="1"/>
  <c r="D1352" i="13" s="1"/>
  <c r="E1352" i="13" s="1"/>
  <c r="G1350" i="13"/>
  <c r="J1349" i="13"/>
  <c r="I850" i="20"/>
  <c r="I217" i="13"/>
  <c r="J217" i="13" s="1"/>
  <c r="D1170" i="13"/>
  <c r="E1170" i="13" s="1"/>
  <c r="F1170" i="13" s="1"/>
  <c r="G1169" i="13"/>
  <c r="I1169" i="13" s="1"/>
  <c r="D1083" i="13"/>
  <c r="G1082" i="13"/>
  <c r="H1082" i="13" s="1"/>
  <c r="D1256" i="13"/>
  <c r="E1256" i="13" s="1"/>
  <c r="F1256" i="13" s="1"/>
  <c r="G1255" i="13"/>
  <c r="H1255" i="13" s="1"/>
  <c r="D940" i="20"/>
  <c r="E940" i="20" s="1"/>
  <c r="F940" i="20" s="1"/>
  <c r="D941" i="20" s="1"/>
  <c r="G939" i="20"/>
  <c r="D735" i="13"/>
  <c r="E735" i="13" s="1"/>
  <c r="F735" i="13" s="1"/>
  <c r="G734" i="13"/>
  <c r="H734" i="13" s="1"/>
  <c r="I496" i="20"/>
  <c r="J996" i="13"/>
  <c r="J307" i="13"/>
  <c r="I230" i="20"/>
  <c r="J1254" i="13"/>
  <c r="J645" i="13"/>
  <c r="J567" i="13"/>
  <c r="J819" i="13"/>
  <c r="J476" i="13"/>
  <c r="J907" i="13"/>
  <c r="I407" i="20"/>
  <c r="I140" i="20"/>
  <c r="D389" i="13"/>
  <c r="G388" i="13"/>
  <c r="D1206" i="20"/>
  <c r="G1205" i="20"/>
  <c r="H1205" i="20"/>
  <c r="D586" i="20"/>
  <c r="G585" i="20"/>
  <c r="H585" i="20"/>
  <c r="D219" i="13"/>
  <c r="G218" i="13"/>
  <c r="D647" i="13"/>
  <c r="G646" i="13"/>
  <c r="D998" i="13"/>
  <c r="G997" i="13"/>
  <c r="D498" i="20"/>
  <c r="G497" i="20"/>
  <c r="H497" i="20"/>
  <c r="D1032" i="20"/>
  <c r="H1031" i="20"/>
  <c r="G1031" i="20"/>
  <c r="D852" i="20"/>
  <c r="H851" i="20"/>
  <c r="G851" i="20"/>
  <c r="E321" i="20"/>
  <c r="F321" i="20" s="1"/>
  <c r="E761" i="20"/>
  <c r="F761" i="20" s="1"/>
  <c r="D762" i="20" s="1"/>
  <c r="E570" i="13"/>
  <c r="F570" i="13" s="1"/>
  <c r="D571" i="13" s="1"/>
  <c r="E13" i="2"/>
  <c r="B226" i="2"/>
  <c r="E821" i="13"/>
  <c r="F821" i="13" s="1"/>
  <c r="D822" i="13" s="1"/>
  <c r="E673" i="20"/>
  <c r="F673" i="20" s="1"/>
  <c r="D674" i="20" s="1"/>
  <c r="E309" i="13"/>
  <c r="F309" i="13" s="1"/>
  <c r="E479" i="13"/>
  <c r="F479" i="13" s="1"/>
  <c r="D480" i="13" s="1"/>
  <c r="H1081" i="13"/>
  <c r="I1081" i="13"/>
  <c r="E141" i="20"/>
  <c r="F141" i="20" s="1"/>
  <c r="H308" i="13"/>
  <c r="I308" i="13"/>
  <c r="H568" i="13"/>
  <c r="I568" i="13"/>
  <c r="H320" i="20"/>
  <c r="I759" i="20"/>
  <c r="H760" i="20"/>
  <c r="H387" i="13"/>
  <c r="I387" i="13"/>
  <c r="I1121" i="20"/>
  <c r="E408" i="20"/>
  <c r="F408" i="20" s="1"/>
  <c r="D409" i="20" s="1"/>
  <c r="H136" i="13"/>
  <c r="I136" i="13"/>
  <c r="H908" i="13"/>
  <c r="I908" i="13"/>
  <c r="H820" i="13"/>
  <c r="I820" i="13"/>
  <c r="G320" i="20"/>
  <c r="H939" i="20"/>
  <c r="J1168" i="13"/>
  <c r="G760" i="20"/>
  <c r="G478" i="13"/>
  <c r="G569" i="13"/>
  <c r="J733" i="13"/>
  <c r="H477" i="13"/>
  <c r="I477" i="13"/>
  <c r="E1122" i="20"/>
  <c r="F1122" i="20" s="1"/>
  <c r="E231" i="20"/>
  <c r="F231" i="20" s="1"/>
  <c r="I672" i="20"/>
  <c r="E137" i="13"/>
  <c r="F137" i="13" s="1"/>
  <c r="D138" i="13" s="1"/>
  <c r="E909" i="13"/>
  <c r="F909" i="13" s="1"/>
  <c r="G1351" i="13" l="1"/>
  <c r="H1351" i="13" s="1"/>
  <c r="I1082" i="13"/>
  <c r="J1082" i="13" s="1"/>
  <c r="I1255" i="13"/>
  <c r="J1255" i="13" s="1"/>
  <c r="I1350" i="13"/>
  <c r="H1350" i="13"/>
  <c r="F1352" i="13"/>
  <c r="D1353" i="13" s="1"/>
  <c r="E1353" i="13" s="1"/>
  <c r="I734" i="13"/>
  <c r="J734" i="13" s="1"/>
  <c r="E1083" i="13"/>
  <c r="F1083" i="13" s="1"/>
  <c r="H1169" i="13"/>
  <c r="J1169" i="13" s="1"/>
  <c r="D910" i="13"/>
  <c r="E910" i="13" s="1"/>
  <c r="F910" i="13" s="1"/>
  <c r="D911" i="13" s="1"/>
  <c r="G909" i="13"/>
  <c r="H909" i="13" s="1"/>
  <c r="D1257" i="13"/>
  <c r="E1257" i="13" s="1"/>
  <c r="F1257" i="13" s="1"/>
  <c r="G1256" i="13"/>
  <c r="I1256" i="13" s="1"/>
  <c r="D1123" i="20"/>
  <c r="E1123" i="20" s="1"/>
  <c r="F1123" i="20" s="1"/>
  <c r="H1122" i="20"/>
  <c r="G1122" i="20"/>
  <c r="I939" i="20"/>
  <c r="G408" i="20"/>
  <c r="J568" i="13"/>
  <c r="J477" i="13"/>
  <c r="J308" i="13"/>
  <c r="J387" i="13"/>
  <c r="J1081" i="13"/>
  <c r="J820" i="13"/>
  <c r="J136" i="13"/>
  <c r="I585" i="20"/>
  <c r="D322" i="20"/>
  <c r="G321" i="20"/>
  <c r="H321" i="20"/>
  <c r="D736" i="13"/>
  <c r="G735" i="13"/>
  <c r="D310" i="13"/>
  <c r="G309" i="13"/>
  <c r="D142" i="20"/>
  <c r="G141" i="20"/>
  <c r="H141" i="20"/>
  <c r="D1171" i="13"/>
  <c r="G1170" i="13"/>
  <c r="D232" i="20"/>
  <c r="H231" i="20"/>
  <c r="G231" i="20"/>
  <c r="E571" i="13"/>
  <c r="F571" i="13" s="1"/>
  <c r="H646" i="13"/>
  <c r="I646" i="13"/>
  <c r="E409" i="20"/>
  <c r="F409" i="20" s="1"/>
  <c r="E229" i="2"/>
  <c r="B227" i="2"/>
  <c r="B228" i="2" s="1"/>
  <c r="B229" i="2" s="1"/>
  <c r="H761" i="20"/>
  <c r="I1031" i="20"/>
  <c r="E498" i="20"/>
  <c r="F498" i="20" s="1"/>
  <c r="E647" i="13"/>
  <c r="F647" i="13" s="1"/>
  <c r="E1206" i="20"/>
  <c r="F1206" i="20" s="1"/>
  <c r="D1207" i="20" s="1"/>
  <c r="H478" i="13"/>
  <c r="I478" i="13"/>
  <c r="E941" i="20"/>
  <c r="F941" i="20" s="1"/>
  <c r="E480" i="13"/>
  <c r="F480" i="13" s="1"/>
  <c r="E674" i="20"/>
  <c r="F674" i="20" s="1"/>
  <c r="D675" i="20" s="1"/>
  <c r="E762" i="20"/>
  <c r="F762" i="20" s="1"/>
  <c r="I760" i="20"/>
  <c r="I320" i="20"/>
  <c r="H940" i="20"/>
  <c r="H673" i="20"/>
  <c r="G821" i="13"/>
  <c r="G761" i="20"/>
  <c r="I851" i="20"/>
  <c r="E1032" i="20"/>
  <c r="F1032" i="20" s="1"/>
  <c r="H997" i="13"/>
  <c r="I997" i="13"/>
  <c r="H218" i="13"/>
  <c r="I218" i="13"/>
  <c r="E586" i="20"/>
  <c r="F586" i="20" s="1"/>
  <c r="D587" i="20" s="1"/>
  <c r="H388" i="13"/>
  <c r="I388" i="13"/>
  <c r="E138" i="13"/>
  <c r="F138" i="13" s="1"/>
  <c r="D139" i="13" s="1"/>
  <c r="E822" i="13"/>
  <c r="F822" i="13" s="1"/>
  <c r="D823" i="13" s="1"/>
  <c r="G137" i="13"/>
  <c r="H569" i="13"/>
  <c r="I569" i="13"/>
  <c r="J908" i="13"/>
  <c r="H408" i="20"/>
  <c r="G940" i="20"/>
  <c r="G479" i="13"/>
  <c r="G673" i="20"/>
  <c r="G570" i="13"/>
  <c r="E852" i="20"/>
  <c r="F852" i="20" s="1"/>
  <c r="D853" i="20" s="1"/>
  <c r="I497" i="20"/>
  <c r="E998" i="13"/>
  <c r="F998" i="13" s="1"/>
  <c r="E219" i="13"/>
  <c r="F219" i="13" s="1"/>
  <c r="D220" i="13" s="1"/>
  <c r="I1205" i="20"/>
  <c r="E389" i="13"/>
  <c r="F389" i="13" s="1"/>
  <c r="I1351" i="13" l="1"/>
  <c r="J1351" i="13" s="1"/>
  <c r="I909" i="13"/>
  <c r="J909" i="13" s="1"/>
  <c r="G1352" i="13"/>
  <c r="I1352" i="13" s="1"/>
  <c r="J1350" i="13"/>
  <c r="F1353" i="13"/>
  <c r="D1354" i="13" s="1"/>
  <c r="E1354" i="13" s="1"/>
  <c r="I408" i="20"/>
  <c r="D1084" i="13"/>
  <c r="E1084" i="13" s="1"/>
  <c r="F1084" i="13" s="1"/>
  <c r="D1085" i="13" s="1"/>
  <c r="G1083" i="13"/>
  <c r="H1083" i="13" s="1"/>
  <c r="H1256" i="13"/>
  <c r="J1256" i="13" s="1"/>
  <c r="I1122" i="20"/>
  <c r="D1124" i="20"/>
  <c r="E1124" i="20" s="1"/>
  <c r="F1124" i="20" s="1"/>
  <c r="G1123" i="20"/>
  <c r="J569" i="13"/>
  <c r="J388" i="13"/>
  <c r="J218" i="13"/>
  <c r="J997" i="13"/>
  <c r="J478" i="13"/>
  <c r="J646" i="13"/>
  <c r="I141" i="20"/>
  <c r="I673" i="20"/>
  <c r="I321" i="20"/>
  <c r="D1033" i="20"/>
  <c r="G1032" i="20"/>
  <c r="H1032" i="20"/>
  <c r="D572" i="13"/>
  <c r="G571" i="13"/>
  <c r="D390" i="13"/>
  <c r="G389" i="13"/>
  <c r="D763" i="20"/>
  <c r="G762" i="20"/>
  <c r="H762" i="20"/>
  <c r="D1258" i="13"/>
  <c r="G1257" i="13"/>
  <c r="D410" i="20"/>
  <c r="G409" i="20"/>
  <c r="H409" i="20"/>
  <c r="D648" i="13"/>
  <c r="G647" i="13"/>
  <c r="D999" i="13"/>
  <c r="G998" i="13"/>
  <c r="D942" i="20"/>
  <c r="G941" i="20"/>
  <c r="H941" i="20"/>
  <c r="D481" i="13"/>
  <c r="G480" i="13"/>
  <c r="D499" i="20"/>
  <c r="G498" i="20"/>
  <c r="H498" i="20"/>
  <c r="E853" i="20"/>
  <c r="F853" i="20" s="1"/>
  <c r="H1170" i="13"/>
  <c r="I1170" i="13"/>
  <c r="E139" i="13"/>
  <c r="F139" i="13" s="1"/>
  <c r="E911" i="13"/>
  <c r="F911" i="13" s="1"/>
  <c r="E1171" i="13"/>
  <c r="F1171" i="13" s="1"/>
  <c r="H309" i="13"/>
  <c r="I309" i="13"/>
  <c r="E220" i="13"/>
  <c r="F220" i="13" s="1"/>
  <c r="H479" i="13"/>
  <c r="I479" i="13"/>
  <c r="E587" i="20"/>
  <c r="F587" i="20" s="1"/>
  <c r="H821" i="13"/>
  <c r="I821" i="13"/>
  <c r="E675" i="20"/>
  <c r="F675" i="20" s="1"/>
  <c r="E1207" i="20"/>
  <c r="F1207" i="20" s="1"/>
  <c r="D1208" i="20" s="1"/>
  <c r="E736" i="13"/>
  <c r="F736" i="13" s="1"/>
  <c r="H852" i="20"/>
  <c r="G219" i="13"/>
  <c r="G852" i="20"/>
  <c r="H570" i="13"/>
  <c r="I570" i="13"/>
  <c r="G138" i="13"/>
  <c r="H586" i="20"/>
  <c r="I940" i="20"/>
  <c r="H674" i="20"/>
  <c r="H1206" i="20"/>
  <c r="I761" i="20"/>
  <c r="I231" i="20"/>
  <c r="E310" i="13"/>
  <c r="F310" i="13" s="1"/>
  <c r="D311" i="13" s="1"/>
  <c r="E823" i="13"/>
  <c r="F823" i="13" s="1"/>
  <c r="D824" i="13" s="1"/>
  <c r="E142" i="20"/>
  <c r="F142" i="20" s="1"/>
  <c r="G822" i="13"/>
  <c r="H1123" i="20"/>
  <c r="H137" i="13"/>
  <c r="I137" i="13"/>
  <c r="G586" i="20"/>
  <c r="G910" i="13"/>
  <c r="G674" i="20"/>
  <c r="G1206" i="20"/>
  <c r="B231" i="2"/>
  <c r="B233" i="2" s="1"/>
  <c r="B234" i="2" s="1"/>
  <c r="E68" i="2"/>
  <c r="E231" i="2"/>
  <c r="E232" i="20"/>
  <c r="F232" i="20" s="1"/>
  <c r="H735" i="13"/>
  <c r="I735" i="13"/>
  <c r="E322" i="20"/>
  <c r="F322" i="20" s="1"/>
  <c r="H1352" i="13" l="1"/>
  <c r="J1352" i="13" s="1"/>
  <c r="I1083" i="13"/>
  <c r="J1083" i="13" s="1"/>
  <c r="G1084" i="13"/>
  <c r="H1084" i="13" s="1"/>
  <c r="G1353" i="13"/>
  <c r="F1354" i="13"/>
  <c r="D1355" i="13" s="1"/>
  <c r="E1355" i="13" s="1"/>
  <c r="I1123" i="20"/>
  <c r="D676" i="20"/>
  <c r="E676" i="20" s="1"/>
  <c r="F676" i="20" s="1"/>
  <c r="G675" i="20"/>
  <c r="D854" i="20"/>
  <c r="E854" i="20" s="1"/>
  <c r="F854" i="20" s="1"/>
  <c r="D855" i="20" s="1"/>
  <c r="G853" i="20"/>
  <c r="D1125" i="20"/>
  <c r="E1125" i="20" s="1"/>
  <c r="F1125" i="20" s="1"/>
  <c r="G1124" i="20"/>
  <c r="G1207" i="20"/>
  <c r="J735" i="13"/>
  <c r="J309" i="13"/>
  <c r="I1032" i="20"/>
  <c r="J137" i="13"/>
  <c r="J479" i="13"/>
  <c r="J1170" i="13"/>
  <c r="I941" i="20"/>
  <c r="I762" i="20"/>
  <c r="I1206" i="20"/>
  <c r="D912" i="13"/>
  <c r="G911" i="13"/>
  <c r="D140" i="13"/>
  <c r="G139" i="13"/>
  <c r="D221" i="13"/>
  <c r="G220" i="13"/>
  <c r="D588" i="20"/>
  <c r="G587" i="20"/>
  <c r="H587" i="20"/>
  <c r="D143" i="20"/>
  <c r="G142" i="20"/>
  <c r="H142" i="20"/>
  <c r="D737" i="13"/>
  <c r="G736" i="13"/>
  <c r="D233" i="20"/>
  <c r="G232" i="20"/>
  <c r="H232" i="20"/>
  <c r="D323" i="20"/>
  <c r="G322" i="20"/>
  <c r="H322" i="20"/>
  <c r="D1172" i="13"/>
  <c r="G1171" i="13"/>
  <c r="E311" i="13"/>
  <c r="F311" i="13" s="1"/>
  <c r="D312" i="13" s="1"/>
  <c r="E999" i="13"/>
  <c r="F999" i="13" s="1"/>
  <c r="E390" i="13"/>
  <c r="F390" i="13" s="1"/>
  <c r="E499" i="20"/>
  <c r="F499" i="20" s="1"/>
  <c r="D500" i="20" s="1"/>
  <c r="H647" i="13"/>
  <c r="I647" i="13"/>
  <c r="E410" i="20"/>
  <c r="F410" i="20" s="1"/>
  <c r="D411" i="20" s="1"/>
  <c r="E1208" i="20"/>
  <c r="F1208" i="20" s="1"/>
  <c r="B235" i="2"/>
  <c r="B236" i="2" s="1"/>
  <c r="B237" i="2" s="1"/>
  <c r="B238" i="2" s="1"/>
  <c r="B239" i="2" s="1"/>
  <c r="B241" i="2" s="1"/>
  <c r="B244" i="2" s="1"/>
  <c r="B245" i="2" s="1"/>
  <c r="G823" i="13"/>
  <c r="H219" i="13"/>
  <c r="I219" i="13"/>
  <c r="H480" i="13"/>
  <c r="I480" i="13"/>
  <c r="E942" i="20"/>
  <c r="F942" i="20" s="1"/>
  <c r="D943" i="20" s="1"/>
  <c r="E648" i="13"/>
  <c r="F648" i="13" s="1"/>
  <c r="H1257" i="13"/>
  <c r="I1257" i="13"/>
  <c r="E763" i="20"/>
  <c r="F763" i="20" s="1"/>
  <c r="D764" i="20" s="1"/>
  <c r="E1085" i="13"/>
  <c r="F1085" i="13" s="1"/>
  <c r="D1086" i="13" s="1"/>
  <c r="E824" i="13"/>
  <c r="F824" i="13" s="1"/>
  <c r="D825" i="13" s="1"/>
  <c r="H138" i="13"/>
  <c r="I138" i="13"/>
  <c r="E572" i="13"/>
  <c r="F572" i="13" s="1"/>
  <c r="H910" i="13"/>
  <c r="I910" i="13"/>
  <c r="I674" i="20"/>
  <c r="H822" i="13"/>
  <c r="I822" i="13"/>
  <c r="G310" i="13"/>
  <c r="I586" i="20"/>
  <c r="J570" i="13"/>
  <c r="H1124" i="20"/>
  <c r="I852" i="20"/>
  <c r="H1207" i="20"/>
  <c r="H675" i="20"/>
  <c r="J821" i="13"/>
  <c r="H853" i="20"/>
  <c r="I498" i="20"/>
  <c r="E481" i="13"/>
  <c r="F481" i="13" s="1"/>
  <c r="H998" i="13"/>
  <c r="I998" i="13"/>
  <c r="I409" i="20"/>
  <c r="E1258" i="13"/>
  <c r="F1258" i="13" s="1"/>
  <c r="H389" i="13"/>
  <c r="I389" i="13"/>
  <c r="H571" i="13"/>
  <c r="I571" i="13"/>
  <c r="E1033" i="20"/>
  <c r="F1033" i="20" s="1"/>
  <c r="D1034" i="20" s="1"/>
  <c r="I1084" i="13" l="1"/>
  <c r="G1354" i="13"/>
  <c r="F1355" i="13"/>
  <c r="D1356" i="13" s="1"/>
  <c r="E1356" i="13" s="1"/>
  <c r="H1353" i="13"/>
  <c r="I1353" i="13"/>
  <c r="I1207" i="20"/>
  <c r="I675" i="20"/>
  <c r="I1124" i="20"/>
  <c r="D649" i="13"/>
  <c r="E649" i="13" s="1"/>
  <c r="F649" i="13" s="1"/>
  <c r="D650" i="13" s="1"/>
  <c r="G648" i="13"/>
  <c r="I648" i="13" s="1"/>
  <c r="I853" i="20"/>
  <c r="G410" i="20"/>
  <c r="J138" i="13"/>
  <c r="I322" i="20"/>
  <c r="I142" i="20"/>
  <c r="J389" i="13"/>
  <c r="J998" i="13"/>
  <c r="J1257" i="13"/>
  <c r="J822" i="13"/>
  <c r="J910" i="13"/>
  <c r="J219" i="13"/>
  <c r="J571" i="13"/>
  <c r="J1084" i="13"/>
  <c r="D1209" i="20"/>
  <c r="G1208" i="20"/>
  <c r="H1208" i="20"/>
  <c r="D677" i="20"/>
  <c r="G676" i="20"/>
  <c r="H676" i="20"/>
  <c r="D1259" i="13"/>
  <c r="G1258" i="13"/>
  <c r="D482" i="13"/>
  <c r="G481" i="13"/>
  <c r="D391" i="13"/>
  <c r="G390" i="13"/>
  <c r="D1126" i="20"/>
  <c r="H1125" i="20"/>
  <c r="G1125" i="20"/>
  <c r="D573" i="13"/>
  <c r="G572" i="13"/>
  <c r="D1000" i="13"/>
  <c r="G999" i="13"/>
  <c r="B246" i="2"/>
  <c r="B247" i="2" s="1"/>
  <c r="B248" i="2" s="1"/>
  <c r="E500" i="20"/>
  <c r="F500" i="20" s="1"/>
  <c r="H763" i="20"/>
  <c r="E411" i="20"/>
  <c r="F411" i="20" s="1"/>
  <c r="H499" i="20"/>
  <c r="H854" i="20"/>
  <c r="E233" i="20"/>
  <c r="F233" i="20" s="1"/>
  <c r="D234" i="20" s="1"/>
  <c r="E588" i="20"/>
  <c r="F588" i="20" s="1"/>
  <c r="E140" i="13"/>
  <c r="F140" i="13" s="1"/>
  <c r="E1034" i="20"/>
  <c r="F1034" i="20" s="1"/>
  <c r="H310" i="13"/>
  <c r="I310" i="13"/>
  <c r="E825" i="13"/>
  <c r="F825" i="13" s="1"/>
  <c r="D826" i="13" s="1"/>
  <c r="E764" i="20"/>
  <c r="F764" i="20" s="1"/>
  <c r="E943" i="20"/>
  <c r="F943" i="20" s="1"/>
  <c r="E312" i="13"/>
  <c r="F312" i="13" s="1"/>
  <c r="D313" i="13" s="1"/>
  <c r="H139" i="13"/>
  <c r="I139" i="13"/>
  <c r="H1033" i="20"/>
  <c r="G763" i="20"/>
  <c r="H942" i="20"/>
  <c r="J480" i="13"/>
  <c r="H823" i="13"/>
  <c r="I823" i="13"/>
  <c r="G499" i="20"/>
  <c r="G854" i="20"/>
  <c r="H1171" i="13"/>
  <c r="I1171" i="13"/>
  <c r="E323" i="20"/>
  <c r="F323" i="20" s="1"/>
  <c r="D324" i="20" s="1"/>
  <c r="H736" i="13"/>
  <c r="I736" i="13"/>
  <c r="E143" i="20"/>
  <c r="F143" i="20" s="1"/>
  <c r="H220" i="13"/>
  <c r="I220" i="13"/>
  <c r="H911" i="13"/>
  <c r="I911" i="13"/>
  <c r="E1086" i="13"/>
  <c r="F1086" i="13" s="1"/>
  <c r="H648" i="13"/>
  <c r="E855" i="20"/>
  <c r="F855" i="20" s="1"/>
  <c r="G1033" i="20"/>
  <c r="G824" i="13"/>
  <c r="G1085" i="13"/>
  <c r="G942" i="20"/>
  <c r="E239" i="2"/>
  <c r="H410" i="20"/>
  <c r="J647" i="13"/>
  <c r="G311" i="13"/>
  <c r="E1172" i="13"/>
  <c r="F1172" i="13" s="1"/>
  <c r="D1173" i="13" s="1"/>
  <c r="I232" i="20"/>
  <c r="E737" i="13"/>
  <c r="F737" i="13" s="1"/>
  <c r="I587" i="20"/>
  <c r="E221" i="13"/>
  <c r="F221" i="13" s="1"/>
  <c r="E912" i="13"/>
  <c r="F912" i="13" s="1"/>
  <c r="G1355" i="13" l="1"/>
  <c r="J1353" i="13"/>
  <c r="F1356" i="13"/>
  <c r="I1355" i="13"/>
  <c r="H1355" i="13"/>
  <c r="I1354" i="13"/>
  <c r="H1354" i="13"/>
  <c r="I410" i="20"/>
  <c r="D412" i="20"/>
  <c r="E412" i="20" s="1"/>
  <c r="F412" i="20" s="1"/>
  <c r="D413" i="20" s="1"/>
  <c r="G411" i="20"/>
  <c r="D738" i="13"/>
  <c r="E738" i="13" s="1"/>
  <c r="F738" i="13" s="1"/>
  <c r="D739" i="13" s="1"/>
  <c r="G737" i="13"/>
  <c r="H737" i="13" s="1"/>
  <c r="J736" i="13"/>
  <c r="J1171" i="13"/>
  <c r="I676" i="20"/>
  <c r="J139" i="13"/>
  <c r="J310" i="13"/>
  <c r="J911" i="13"/>
  <c r="I1208" i="20"/>
  <c r="D944" i="20"/>
  <c r="G943" i="20"/>
  <c r="H943" i="20"/>
  <c r="D913" i="13"/>
  <c r="G912" i="13"/>
  <c r="D589" i="20"/>
  <c r="G588" i="20"/>
  <c r="H588" i="20"/>
  <c r="D856" i="20"/>
  <c r="H855" i="20"/>
  <c r="G855" i="20"/>
  <c r="D765" i="20"/>
  <c r="G764" i="20"/>
  <c r="H764" i="20"/>
  <c r="D1035" i="20"/>
  <c r="G1034" i="20"/>
  <c r="H1034" i="20"/>
  <c r="D1087" i="13"/>
  <c r="G1086" i="13"/>
  <c r="D222" i="13"/>
  <c r="G221" i="13"/>
  <c r="D144" i="20"/>
  <c r="H143" i="20"/>
  <c r="G143" i="20"/>
  <c r="D141" i="13"/>
  <c r="G140" i="13"/>
  <c r="D501" i="20"/>
  <c r="H500" i="20"/>
  <c r="G500" i="20"/>
  <c r="H1085" i="13"/>
  <c r="I1085" i="13"/>
  <c r="E313" i="13"/>
  <c r="F313" i="13" s="1"/>
  <c r="E234" i="20"/>
  <c r="F234" i="20" s="1"/>
  <c r="E650" i="13"/>
  <c r="F650" i="13" s="1"/>
  <c r="E573" i="13"/>
  <c r="F573" i="13" s="1"/>
  <c r="H390" i="13"/>
  <c r="I390" i="13"/>
  <c r="H1258" i="13"/>
  <c r="I1258" i="13"/>
  <c r="E677" i="20"/>
  <c r="F677" i="20" s="1"/>
  <c r="D678" i="20" s="1"/>
  <c r="H824" i="13"/>
  <c r="I824" i="13"/>
  <c r="I942" i="20"/>
  <c r="E826" i="13"/>
  <c r="F826" i="13" s="1"/>
  <c r="H233" i="20"/>
  <c r="I854" i="20"/>
  <c r="H999" i="13"/>
  <c r="I999" i="13"/>
  <c r="E391" i="13"/>
  <c r="F391" i="13" s="1"/>
  <c r="D392" i="13" s="1"/>
  <c r="E1259" i="13"/>
  <c r="F1259" i="13" s="1"/>
  <c r="D1260" i="13" s="1"/>
  <c r="E324" i="20"/>
  <c r="F324" i="20" s="1"/>
  <c r="D325" i="20" s="1"/>
  <c r="G1172" i="13"/>
  <c r="J220" i="13"/>
  <c r="H323" i="20"/>
  <c r="J823" i="13"/>
  <c r="G825" i="13"/>
  <c r="G233" i="20"/>
  <c r="I499" i="20"/>
  <c r="I763" i="20"/>
  <c r="E1000" i="13"/>
  <c r="F1000" i="13" s="1"/>
  <c r="I1125" i="20"/>
  <c r="H481" i="13"/>
  <c r="I481" i="13"/>
  <c r="E1173" i="13"/>
  <c r="F1173" i="13" s="1"/>
  <c r="H311" i="13"/>
  <c r="I311" i="13"/>
  <c r="J648" i="13"/>
  <c r="G323" i="20"/>
  <c r="I1033" i="20"/>
  <c r="G312" i="13"/>
  <c r="H411" i="20"/>
  <c r="G649" i="13"/>
  <c r="B249" i="2"/>
  <c r="H572" i="13"/>
  <c r="I572" i="13"/>
  <c r="E1126" i="20"/>
  <c r="F1126" i="20" s="1"/>
  <c r="D1127" i="20" s="1"/>
  <c r="E482" i="13"/>
  <c r="F482" i="13" s="1"/>
  <c r="E1209" i="20"/>
  <c r="F1209" i="20" s="1"/>
  <c r="J1355" i="13" l="1"/>
  <c r="D1357" i="13"/>
  <c r="E1357" i="13" s="1"/>
  <c r="G1356" i="13"/>
  <c r="J1354" i="13"/>
  <c r="G1259" i="13"/>
  <c r="I411" i="20"/>
  <c r="D483" i="13"/>
  <c r="E483" i="13" s="1"/>
  <c r="G482" i="13"/>
  <c r="H482" i="13" s="1"/>
  <c r="D574" i="13"/>
  <c r="G573" i="13"/>
  <c r="I573" i="13" s="1"/>
  <c r="I737" i="13"/>
  <c r="J737" i="13" s="1"/>
  <c r="I323" i="20"/>
  <c r="I764" i="20"/>
  <c r="I500" i="20"/>
  <c r="J572" i="13"/>
  <c r="I588" i="20"/>
  <c r="J390" i="13"/>
  <c r="J311" i="13"/>
  <c r="J999" i="13"/>
  <c r="J824" i="13"/>
  <c r="J1258" i="13"/>
  <c r="I943" i="20"/>
  <c r="D235" i="20"/>
  <c r="H234" i="20"/>
  <c r="G234" i="20"/>
  <c r="D1210" i="20"/>
  <c r="H1209" i="20"/>
  <c r="G1209" i="20"/>
  <c r="D314" i="13"/>
  <c r="G313" i="13"/>
  <c r="D651" i="13"/>
  <c r="G650" i="13"/>
  <c r="D1174" i="13"/>
  <c r="G1173" i="13"/>
  <c r="D1001" i="13"/>
  <c r="G1000" i="13"/>
  <c r="D827" i="13"/>
  <c r="G826" i="13"/>
  <c r="E1127" i="20"/>
  <c r="F1127" i="20" s="1"/>
  <c r="H312" i="13"/>
  <c r="I312" i="13"/>
  <c r="H1259" i="13"/>
  <c r="I1259" i="13"/>
  <c r="E413" i="20"/>
  <c r="F413" i="20" s="1"/>
  <c r="D414" i="20" s="1"/>
  <c r="E222" i="13"/>
  <c r="F222" i="13" s="1"/>
  <c r="E765" i="20"/>
  <c r="F765" i="20" s="1"/>
  <c r="D766" i="20" s="1"/>
  <c r="E913" i="13"/>
  <c r="F913" i="13" s="1"/>
  <c r="D914" i="13" s="1"/>
  <c r="J481" i="13"/>
  <c r="G738" i="13"/>
  <c r="G391" i="13"/>
  <c r="E501" i="20"/>
  <c r="F501" i="20" s="1"/>
  <c r="I143" i="20"/>
  <c r="H1086" i="13"/>
  <c r="I1086" i="13"/>
  <c r="E1035" i="20"/>
  <c r="F1035" i="20" s="1"/>
  <c r="D1036" i="20" s="1"/>
  <c r="E325" i="20"/>
  <c r="F325" i="20" s="1"/>
  <c r="H649" i="13"/>
  <c r="I649" i="13"/>
  <c r="H825" i="13"/>
  <c r="I825" i="13"/>
  <c r="H1172" i="13"/>
  <c r="I1172" i="13"/>
  <c r="H324" i="20"/>
  <c r="E1260" i="13"/>
  <c r="F1260" i="13" s="1"/>
  <c r="D1261" i="13" s="1"/>
  <c r="E392" i="13"/>
  <c r="F392" i="13" s="1"/>
  <c r="H412" i="20"/>
  <c r="H677" i="20"/>
  <c r="E574" i="13"/>
  <c r="F574" i="13" s="1"/>
  <c r="D575" i="13" s="1"/>
  <c r="H140" i="13"/>
  <c r="I140" i="13"/>
  <c r="E144" i="20"/>
  <c r="F144" i="20" s="1"/>
  <c r="D145" i="20" s="1"/>
  <c r="E1087" i="13"/>
  <c r="F1087" i="13" s="1"/>
  <c r="D1088" i="13" s="1"/>
  <c r="I855" i="20"/>
  <c r="E589" i="20"/>
  <c r="F589" i="20" s="1"/>
  <c r="D590" i="20" s="1"/>
  <c r="D256" i="2"/>
  <c r="B250" i="2"/>
  <c r="B251" i="2" s="1"/>
  <c r="B252" i="2" s="1"/>
  <c r="E739" i="13"/>
  <c r="F739" i="13" s="1"/>
  <c r="D740" i="13" s="1"/>
  <c r="E678" i="20"/>
  <c r="F678" i="20" s="1"/>
  <c r="H1126" i="20"/>
  <c r="G1126" i="20"/>
  <c r="G324" i="20"/>
  <c r="G412" i="20"/>
  <c r="I233" i="20"/>
  <c r="G677" i="20"/>
  <c r="J1085" i="13"/>
  <c r="E141" i="13"/>
  <c r="F141" i="13" s="1"/>
  <c r="D142" i="13" s="1"/>
  <c r="H221" i="13"/>
  <c r="I221" i="13"/>
  <c r="I1034" i="20"/>
  <c r="E856" i="20"/>
  <c r="F856" i="20" s="1"/>
  <c r="H912" i="13"/>
  <c r="I912" i="13"/>
  <c r="E944" i="20"/>
  <c r="F944" i="20" s="1"/>
  <c r="I1356" i="13" l="1"/>
  <c r="H1356" i="13"/>
  <c r="F1357" i="13"/>
  <c r="D1358" i="13" s="1"/>
  <c r="E1358" i="13" s="1"/>
  <c r="I482" i="13"/>
  <c r="J482" i="13" s="1"/>
  <c r="H573" i="13"/>
  <c r="J573" i="13" s="1"/>
  <c r="F483" i="13"/>
  <c r="D484" i="13" s="1"/>
  <c r="E484" i="13" s="1"/>
  <c r="F484" i="13" s="1"/>
  <c r="D485" i="13" s="1"/>
  <c r="D1128" i="20"/>
  <c r="E1128" i="20" s="1"/>
  <c r="F1128" i="20" s="1"/>
  <c r="G1127" i="20"/>
  <c r="G413" i="20"/>
  <c r="J912" i="13"/>
  <c r="I412" i="20"/>
  <c r="J312" i="13"/>
  <c r="J1172" i="13"/>
  <c r="J649" i="13"/>
  <c r="D857" i="20"/>
  <c r="G856" i="20"/>
  <c r="H856" i="20"/>
  <c r="D945" i="20"/>
  <c r="H944" i="20"/>
  <c r="G944" i="20"/>
  <c r="D502" i="20"/>
  <c r="G501" i="20"/>
  <c r="H501" i="20"/>
  <c r="D679" i="20"/>
  <c r="H678" i="20"/>
  <c r="G678" i="20"/>
  <c r="D393" i="13"/>
  <c r="G392" i="13"/>
  <c r="D326" i="20"/>
  <c r="G325" i="20"/>
  <c r="H325" i="20"/>
  <c r="D223" i="13"/>
  <c r="G222" i="13"/>
  <c r="E575" i="13"/>
  <c r="F575" i="13" s="1"/>
  <c r="E1261" i="13"/>
  <c r="F1261" i="13" s="1"/>
  <c r="E1036" i="20"/>
  <c r="F1036" i="20" s="1"/>
  <c r="E914" i="13"/>
  <c r="F914" i="13" s="1"/>
  <c r="D915" i="13" s="1"/>
  <c r="E827" i="13"/>
  <c r="F827" i="13" s="1"/>
  <c r="E314" i="13"/>
  <c r="F314" i="13" s="1"/>
  <c r="D315" i="13" s="1"/>
  <c r="G141" i="13"/>
  <c r="G1260" i="13"/>
  <c r="H391" i="13"/>
  <c r="I391" i="13"/>
  <c r="E414" i="20"/>
  <c r="F414" i="20" s="1"/>
  <c r="H1000" i="13"/>
  <c r="I1000" i="13"/>
  <c r="H650" i="13"/>
  <c r="I650" i="13"/>
  <c r="E252" i="2"/>
  <c r="E740" i="13"/>
  <c r="F740" i="13" s="1"/>
  <c r="D741" i="13" s="1"/>
  <c r="E590" i="20"/>
  <c r="F590" i="20" s="1"/>
  <c r="E145" i="20"/>
  <c r="F145" i="20" s="1"/>
  <c r="E766" i="20"/>
  <c r="F766" i="20" s="1"/>
  <c r="D767" i="20" s="1"/>
  <c r="E1174" i="13"/>
  <c r="F1174" i="13" s="1"/>
  <c r="E1210" i="20"/>
  <c r="F1210" i="20" s="1"/>
  <c r="I1126" i="20"/>
  <c r="B254" i="2"/>
  <c r="B255" i="2" s="1"/>
  <c r="D257" i="2"/>
  <c r="H589" i="20"/>
  <c r="H144" i="20"/>
  <c r="J140" i="13"/>
  <c r="G574" i="13"/>
  <c r="J825" i="13"/>
  <c r="H1035" i="20"/>
  <c r="J1086" i="13"/>
  <c r="H738" i="13"/>
  <c r="I738" i="13"/>
  <c r="H765" i="20"/>
  <c r="E1001" i="13"/>
  <c r="F1001" i="13" s="1"/>
  <c r="D1002" i="13" s="1"/>
  <c r="E651" i="13"/>
  <c r="F651" i="13" s="1"/>
  <c r="I234" i="20"/>
  <c r="E1088" i="13"/>
  <c r="F1088" i="13" s="1"/>
  <c r="D1089" i="13" s="1"/>
  <c r="J221" i="13"/>
  <c r="E142" i="13"/>
  <c r="F142" i="13" s="1"/>
  <c r="D143" i="13" s="1"/>
  <c r="G739" i="13"/>
  <c r="G589" i="20"/>
  <c r="G1087" i="13"/>
  <c r="G144" i="20"/>
  <c r="I677" i="20"/>
  <c r="I324" i="20"/>
  <c r="G1035" i="20"/>
  <c r="G913" i="13"/>
  <c r="G765" i="20"/>
  <c r="H413" i="20"/>
  <c r="J1259" i="13"/>
  <c r="H1127" i="20"/>
  <c r="H826" i="13"/>
  <c r="I826" i="13"/>
  <c r="H1173" i="13"/>
  <c r="I1173" i="13"/>
  <c r="H313" i="13"/>
  <c r="I313" i="13"/>
  <c r="I1209" i="20"/>
  <c r="E235" i="20"/>
  <c r="F235" i="20" s="1"/>
  <c r="J1356" i="13" l="1"/>
  <c r="F1358" i="13"/>
  <c r="G1357" i="13"/>
  <c r="G483" i="13"/>
  <c r="I483" i="13" s="1"/>
  <c r="I413" i="20"/>
  <c r="I1127" i="20"/>
  <c r="D652" i="13"/>
  <c r="E652" i="13" s="1"/>
  <c r="F652" i="13" s="1"/>
  <c r="G651" i="13"/>
  <c r="I651" i="13" s="1"/>
  <c r="G1001" i="13"/>
  <c r="H1001" i="13" s="1"/>
  <c r="G142" i="13"/>
  <c r="I142" i="13" s="1"/>
  <c r="I856" i="20"/>
  <c r="J650" i="13"/>
  <c r="I589" i="20"/>
  <c r="J1173" i="13"/>
  <c r="D236" i="20"/>
  <c r="G235" i="20"/>
  <c r="H235" i="20"/>
  <c r="D146" i="20"/>
  <c r="G145" i="20"/>
  <c r="H145" i="20"/>
  <c r="D576" i="13"/>
  <c r="G575" i="13"/>
  <c r="D591" i="20"/>
  <c r="G590" i="20"/>
  <c r="H590" i="20"/>
  <c r="D1129" i="20"/>
  <c r="G1128" i="20"/>
  <c r="H1128" i="20"/>
  <c r="D1037" i="20"/>
  <c r="H1036" i="20"/>
  <c r="G1036" i="20"/>
  <c r="D1175" i="13"/>
  <c r="G1174" i="13"/>
  <c r="D1211" i="20"/>
  <c r="H1210" i="20"/>
  <c r="G1210" i="20"/>
  <c r="D415" i="20"/>
  <c r="G414" i="20"/>
  <c r="H414" i="20"/>
  <c r="D828" i="13"/>
  <c r="G827" i="13"/>
  <c r="D1262" i="13"/>
  <c r="G1261" i="13"/>
  <c r="H913" i="13"/>
  <c r="I913" i="13"/>
  <c r="H142" i="13"/>
  <c r="E1089" i="13"/>
  <c r="F1089" i="13" s="1"/>
  <c r="H651" i="13"/>
  <c r="H574" i="13"/>
  <c r="I574" i="13"/>
  <c r="E767" i="20"/>
  <c r="F767" i="20" s="1"/>
  <c r="D768" i="20" s="1"/>
  <c r="E315" i="13"/>
  <c r="F315" i="13" s="1"/>
  <c r="D316" i="13" s="1"/>
  <c r="H1087" i="13"/>
  <c r="I1087" i="13"/>
  <c r="E143" i="13"/>
  <c r="F143" i="13" s="1"/>
  <c r="D144" i="13" s="1"/>
  <c r="D358" i="2"/>
  <c r="B256" i="2"/>
  <c r="B257" i="2" s="1"/>
  <c r="D258" i="2" s="1"/>
  <c r="H141" i="13"/>
  <c r="I141" i="13"/>
  <c r="G914" i="13"/>
  <c r="H222" i="13"/>
  <c r="I222" i="13"/>
  <c r="E326" i="20"/>
  <c r="F326" i="20" s="1"/>
  <c r="I678" i="20"/>
  <c r="E502" i="20"/>
  <c r="F502" i="20" s="1"/>
  <c r="H1260" i="13"/>
  <c r="I1260" i="13"/>
  <c r="E915" i="13"/>
  <c r="F915" i="13" s="1"/>
  <c r="E945" i="20"/>
  <c r="F945" i="20" s="1"/>
  <c r="D946" i="20" s="1"/>
  <c r="J313" i="13"/>
  <c r="J826" i="13"/>
  <c r="G1088" i="13"/>
  <c r="I765" i="20"/>
  <c r="I1035" i="20"/>
  <c r="I144" i="20"/>
  <c r="H766" i="20"/>
  <c r="G740" i="13"/>
  <c r="J391" i="13"/>
  <c r="E223" i="13"/>
  <c r="F223" i="13" s="1"/>
  <c r="D224" i="13" s="1"/>
  <c r="H392" i="13"/>
  <c r="I392" i="13"/>
  <c r="E679" i="20"/>
  <c r="F679" i="20" s="1"/>
  <c r="D680" i="20" s="1"/>
  <c r="E485" i="13"/>
  <c r="F485" i="13" s="1"/>
  <c r="D486" i="13" s="1"/>
  <c r="H739" i="13"/>
  <c r="I739" i="13"/>
  <c r="E1002" i="13"/>
  <c r="F1002" i="13" s="1"/>
  <c r="J738" i="13"/>
  <c r="G766" i="20"/>
  <c r="G484" i="13"/>
  <c r="E741" i="13"/>
  <c r="F741" i="13" s="1"/>
  <c r="D742" i="13" s="1"/>
  <c r="J1000" i="13"/>
  <c r="G314" i="13"/>
  <c r="I325" i="20"/>
  <c r="E393" i="13"/>
  <c r="F393" i="13" s="1"/>
  <c r="I501" i="20"/>
  <c r="I944" i="20"/>
  <c r="E857" i="20"/>
  <c r="F857" i="20" s="1"/>
  <c r="D858" i="20" s="1"/>
  <c r="H483" i="13" l="1"/>
  <c r="J483" i="13" s="1"/>
  <c r="D1359" i="13"/>
  <c r="E1359" i="13" s="1"/>
  <c r="G1358" i="13"/>
  <c r="I1357" i="13"/>
  <c r="H1357" i="13"/>
  <c r="I1001" i="13"/>
  <c r="J1001" i="13" s="1"/>
  <c r="D1003" i="13"/>
  <c r="E1003" i="13" s="1"/>
  <c r="F1003" i="13" s="1"/>
  <c r="G1002" i="13"/>
  <c r="H1002" i="13" s="1"/>
  <c r="D1090" i="13"/>
  <c r="E1090" i="13" s="1"/>
  <c r="F1090" i="13" s="1"/>
  <c r="G1089" i="13"/>
  <c r="H1089" i="13" s="1"/>
  <c r="G857" i="20"/>
  <c r="G945" i="20"/>
  <c r="J1260" i="13"/>
  <c r="J141" i="13"/>
  <c r="J913" i="13"/>
  <c r="I590" i="20"/>
  <c r="I235" i="20"/>
  <c r="J392" i="13"/>
  <c r="J574" i="13"/>
  <c r="J651" i="13"/>
  <c r="I1128" i="20"/>
  <c r="I145" i="20"/>
  <c r="J739" i="13"/>
  <c r="I766" i="20"/>
  <c r="J222" i="13"/>
  <c r="J1087" i="13"/>
  <c r="I1036" i="20"/>
  <c r="D327" i="20"/>
  <c r="G326" i="20"/>
  <c r="H326" i="20"/>
  <c r="D653" i="13"/>
  <c r="G652" i="13"/>
  <c r="D394" i="13"/>
  <c r="G393" i="13"/>
  <c r="D503" i="20"/>
  <c r="H502" i="20"/>
  <c r="G502" i="20"/>
  <c r="D916" i="13"/>
  <c r="G915" i="13"/>
  <c r="E316" i="13"/>
  <c r="F316" i="13" s="1"/>
  <c r="E1129" i="20"/>
  <c r="F1129" i="20" s="1"/>
  <c r="D1130" i="20" s="1"/>
  <c r="H679" i="20"/>
  <c r="H827" i="13"/>
  <c r="I827" i="13"/>
  <c r="E415" i="20"/>
  <c r="F415" i="20" s="1"/>
  <c r="H1174" i="13"/>
  <c r="I1174" i="13"/>
  <c r="E1037" i="20"/>
  <c r="F1037" i="20" s="1"/>
  <c r="E576" i="13"/>
  <c r="F576" i="13" s="1"/>
  <c r="D577" i="13" s="1"/>
  <c r="E486" i="13"/>
  <c r="F486" i="13" s="1"/>
  <c r="D487" i="13" s="1"/>
  <c r="E224" i="13"/>
  <c r="F224" i="13" s="1"/>
  <c r="H1088" i="13"/>
  <c r="I1088" i="13"/>
  <c r="B258" i="2"/>
  <c r="C16" i="20"/>
  <c r="C16" i="13"/>
  <c r="E768" i="20"/>
  <c r="F768" i="20" s="1"/>
  <c r="D769" i="20" s="1"/>
  <c r="E1211" i="20"/>
  <c r="F1211" i="20" s="1"/>
  <c r="D1212" i="20" s="1"/>
  <c r="E146" i="20"/>
  <c r="F146" i="20" s="1"/>
  <c r="D147" i="20" s="1"/>
  <c r="H314" i="13"/>
  <c r="I314" i="13"/>
  <c r="E946" i="20"/>
  <c r="F946" i="20" s="1"/>
  <c r="G679" i="20"/>
  <c r="C19" i="13"/>
  <c r="H767" i="20"/>
  <c r="E828" i="13"/>
  <c r="F828" i="13" s="1"/>
  <c r="D829" i="13" s="1"/>
  <c r="E1175" i="13"/>
  <c r="F1175" i="13" s="1"/>
  <c r="E742" i="13"/>
  <c r="F742" i="13" s="1"/>
  <c r="E680" i="20"/>
  <c r="F680" i="20" s="1"/>
  <c r="D349" i="2"/>
  <c r="E144" i="13"/>
  <c r="F144" i="13" s="1"/>
  <c r="E1262" i="13"/>
  <c r="F1262" i="13" s="1"/>
  <c r="H575" i="13"/>
  <c r="I575" i="13"/>
  <c r="E858" i="20"/>
  <c r="F858" i="20" s="1"/>
  <c r="H484" i="13"/>
  <c r="I484" i="13"/>
  <c r="G485" i="13"/>
  <c r="H857" i="20"/>
  <c r="G741" i="13"/>
  <c r="G223" i="13"/>
  <c r="H740" i="13"/>
  <c r="I740" i="13"/>
  <c r="H945" i="20"/>
  <c r="H914" i="13"/>
  <c r="I914" i="13"/>
  <c r="C19" i="20"/>
  <c r="G143" i="13"/>
  <c r="G315" i="13"/>
  <c r="G767" i="20"/>
  <c r="J142" i="13"/>
  <c r="H1261" i="13"/>
  <c r="I1261" i="13"/>
  <c r="I414" i="20"/>
  <c r="I1210" i="20"/>
  <c r="E591" i="20"/>
  <c r="F591" i="20" s="1"/>
  <c r="E236" i="20"/>
  <c r="F236" i="20" s="1"/>
  <c r="I1002" i="13" l="1"/>
  <c r="J1002" i="13" s="1"/>
  <c r="J1357" i="13"/>
  <c r="I1358" i="13"/>
  <c r="H1358" i="13"/>
  <c r="F1359" i="13"/>
  <c r="I857" i="20"/>
  <c r="I945" i="20"/>
  <c r="D1038" i="20"/>
  <c r="E1038" i="20" s="1"/>
  <c r="F1038" i="20" s="1"/>
  <c r="D1039" i="20" s="1"/>
  <c r="G1037" i="20"/>
  <c r="I1089" i="13"/>
  <c r="J1089" i="13" s="1"/>
  <c r="G1129" i="20"/>
  <c r="J827" i="13"/>
  <c r="J1088" i="13"/>
  <c r="I326" i="20"/>
  <c r="D1004" i="13"/>
  <c r="G1003" i="13"/>
  <c r="D1091" i="13"/>
  <c r="G1090" i="13"/>
  <c r="D1263" i="13"/>
  <c r="G1262" i="13"/>
  <c r="D743" i="13"/>
  <c r="G742" i="13"/>
  <c r="D947" i="20"/>
  <c r="H946" i="20"/>
  <c r="G946" i="20"/>
  <c r="D416" i="20"/>
  <c r="G415" i="20"/>
  <c r="H415" i="20"/>
  <c r="D145" i="13"/>
  <c r="G144" i="13"/>
  <c r="D681" i="20"/>
  <c r="G680" i="20"/>
  <c r="H680" i="20"/>
  <c r="D237" i="20"/>
  <c r="G236" i="20"/>
  <c r="H236" i="20"/>
  <c r="D859" i="20"/>
  <c r="H858" i="20"/>
  <c r="G858" i="20"/>
  <c r="D1176" i="13"/>
  <c r="G1175" i="13"/>
  <c r="D592" i="20"/>
  <c r="G591" i="20"/>
  <c r="H591" i="20"/>
  <c r="D225" i="13"/>
  <c r="G224" i="13"/>
  <c r="D317" i="13"/>
  <c r="G316" i="13"/>
  <c r="E829" i="13"/>
  <c r="F829" i="13" s="1"/>
  <c r="E147" i="20"/>
  <c r="F147" i="20" s="1"/>
  <c r="D148" i="20" s="1"/>
  <c r="E1212" i="20"/>
  <c r="F1212" i="20" s="1"/>
  <c r="E769" i="20"/>
  <c r="F769" i="20" s="1"/>
  <c r="E577" i="13"/>
  <c r="F577" i="13" s="1"/>
  <c r="D578" i="13" s="1"/>
  <c r="H915" i="13"/>
  <c r="I915" i="13"/>
  <c r="E503" i="20"/>
  <c r="F503" i="20" s="1"/>
  <c r="D504" i="20" s="1"/>
  <c r="E653" i="13"/>
  <c r="F653" i="13" s="1"/>
  <c r="J740" i="13"/>
  <c r="I767" i="20"/>
  <c r="H146" i="20"/>
  <c r="H1211" i="20"/>
  <c r="H768" i="20"/>
  <c r="E487" i="13"/>
  <c r="F487" i="13" s="1"/>
  <c r="E1130" i="20"/>
  <c r="F1130" i="20" s="1"/>
  <c r="E916" i="13"/>
  <c r="F916" i="13" s="1"/>
  <c r="H393" i="13"/>
  <c r="I393" i="13"/>
  <c r="H143" i="13"/>
  <c r="I143" i="13"/>
  <c r="J914" i="13"/>
  <c r="H485" i="13"/>
  <c r="I485" i="13"/>
  <c r="G828" i="13"/>
  <c r="G146" i="20"/>
  <c r="G1211" i="20"/>
  <c r="G768" i="20"/>
  <c r="G486" i="13"/>
  <c r="G576" i="13"/>
  <c r="I679" i="20"/>
  <c r="E394" i="13"/>
  <c r="F394" i="13" s="1"/>
  <c r="H741" i="13"/>
  <c r="I741" i="13"/>
  <c r="J1261" i="13"/>
  <c r="H315" i="13"/>
  <c r="I315" i="13"/>
  <c r="H223" i="13"/>
  <c r="I223" i="13"/>
  <c r="J484" i="13"/>
  <c r="J575" i="13"/>
  <c r="J314" i="13"/>
  <c r="B260" i="2"/>
  <c r="B77" i="41"/>
  <c r="E205" i="2"/>
  <c r="D191" i="2"/>
  <c r="H1037" i="20"/>
  <c r="J1174" i="13"/>
  <c r="H1129" i="20"/>
  <c r="I502" i="20"/>
  <c r="H652" i="13"/>
  <c r="I652" i="13"/>
  <c r="E327" i="20"/>
  <c r="F327" i="20" s="1"/>
  <c r="D328" i="20" s="1"/>
  <c r="D1360" i="13" l="1"/>
  <c r="E1360" i="13" s="1"/>
  <c r="G1359" i="13"/>
  <c r="J1358" i="13"/>
  <c r="I1037" i="20"/>
  <c r="I1129" i="20"/>
  <c r="G147" i="20"/>
  <c r="J485" i="13"/>
  <c r="J741" i="13"/>
  <c r="I680" i="20"/>
  <c r="J652" i="13"/>
  <c r="J315" i="13"/>
  <c r="I591" i="20"/>
  <c r="I236" i="20"/>
  <c r="I415" i="20"/>
  <c r="J393" i="13"/>
  <c r="J915" i="13"/>
  <c r="I858" i="20"/>
  <c r="D654" i="13"/>
  <c r="G653" i="13"/>
  <c r="D830" i="13"/>
  <c r="G829" i="13"/>
  <c r="D770" i="20"/>
  <c r="H769" i="20"/>
  <c r="G769" i="20"/>
  <c r="D1213" i="20"/>
  <c r="H1212" i="20"/>
  <c r="G1212" i="20"/>
  <c r="D917" i="13"/>
  <c r="G916" i="13"/>
  <c r="D488" i="13"/>
  <c r="G487" i="13"/>
  <c r="D395" i="13"/>
  <c r="G394" i="13"/>
  <c r="D1131" i="20"/>
  <c r="G1130" i="20"/>
  <c r="H1130" i="20"/>
  <c r="E578" i="13"/>
  <c r="F578" i="13" s="1"/>
  <c r="E592" i="20"/>
  <c r="F592" i="20" s="1"/>
  <c r="D593" i="20" s="1"/>
  <c r="E237" i="20"/>
  <c r="F237" i="20" s="1"/>
  <c r="D238" i="20" s="1"/>
  <c r="H144" i="13"/>
  <c r="I144" i="13"/>
  <c r="E416" i="20"/>
  <c r="F416" i="20" s="1"/>
  <c r="D417" i="20" s="1"/>
  <c r="H742" i="13"/>
  <c r="I742" i="13"/>
  <c r="H1090" i="13"/>
  <c r="I1090" i="13"/>
  <c r="E1039" i="20"/>
  <c r="F1039" i="20" s="1"/>
  <c r="D1040" i="20" s="1"/>
  <c r="E504" i="20"/>
  <c r="F504" i="20" s="1"/>
  <c r="D505" i="20" s="1"/>
  <c r="H224" i="13"/>
  <c r="I224" i="13"/>
  <c r="I768" i="20"/>
  <c r="E148" i="20"/>
  <c r="F148" i="20" s="1"/>
  <c r="E225" i="13"/>
  <c r="F225" i="13" s="1"/>
  <c r="H1175" i="13"/>
  <c r="I1175" i="13"/>
  <c r="E859" i="20"/>
  <c r="F859" i="20" s="1"/>
  <c r="E145" i="13"/>
  <c r="F145" i="13" s="1"/>
  <c r="E743" i="13"/>
  <c r="F743" i="13" s="1"/>
  <c r="E1091" i="13"/>
  <c r="F1091" i="13" s="1"/>
  <c r="H327" i="20"/>
  <c r="H576" i="13"/>
  <c r="I576" i="13"/>
  <c r="H1038" i="20"/>
  <c r="I1211" i="20"/>
  <c r="H503" i="20"/>
  <c r="G577" i="13"/>
  <c r="H316" i="13"/>
  <c r="I316" i="13"/>
  <c r="E1176" i="13"/>
  <c r="F1176" i="13" s="1"/>
  <c r="I946" i="20"/>
  <c r="H1262" i="13"/>
  <c r="I1262" i="13"/>
  <c r="H1003" i="13"/>
  <c r="I1003" i="13"/>
  <c r="E328" i="20"/>
  <c r="F328" i="20" s="1"/>
  <c r="D329" i="20" s="1"/>
  <c r="G327" i="20"/>
  <c r="J223" i="13"/>
  <c r="H486" i="13"/>
  <c r="I486" i="13"/>
  <c r="H828" i="13"/>
  <c r="I828" i="13"/>
  <c r="J143" i="13"/>
  <c r="G1038" i="20"/>
  <c r="I146" i="20"/>
  <c r="G503" i="20"/>
  <c r="H147" i="20"/>
  <c r="E317" i="13"/>
  <c r="F317" i="13" s="1"/>
  <c r="E681" i="20"/>
  <c r="F681" i="20" s="1"/>
  <c r="E947" i="20"/>
  <c r="F947" i="20" s="1"/>
  <c r="E1263" i="13"/>
  <c r="F1263" i="13" s="1"/>
  <c r="D1264" i="13" s="1"/>
  <c r="E1004" i="13"/>
  <c r="F1004" i="13" s="1"/>
  <c r="I1359" i="13" l="1"/>
  <c r="H1359" i="13"/>
  <c r="F1360" i="13"/>
  <c r="D860" i="20"/>
  <c r="E860" i="20" s="1"/>
  <c r="F860" i="20" s="1"/>
  <c r="D861" i="20" s="1"/>
  <c r="G859" i="20"/>
  <c r="I147" i="20"/>
  <c r="D948" i="20"/>
  <c r="E948" i="20" s="1"/>
  <c r="F948" i="20" s="1"/>
  <c r="G947" i="20"/>
  <c r="H947" i="20"/>
  <c r="D318" i="13"/>
  <c r="E318" i="13" s="1"/>
  <c r="G317" i="13"/>
  <c r="H317" i="13" s="1"/>
  <c r="D682" i="20"/>
  <c r="E682" i="20" s="1"/>
  <c r="F682" i="20" s="1"/>
  <c r="G681" i="20"/>
  <c r="H681" i="20"/>
  <c r="H504" i="20"/>
  <c r="H1039" i="20"/>
  <c r="H416" i="20"/>
  <c r="H859" i="20"/>
  <c r="G504" i="20"/>
  <c r="G1039" i="20"/>
  <c r="G416" i="20"/>
  <c r="I1130" i="20"/>
  <c r="J486" i="13"/>
  <c r="J1262" i="13"/>
  <c r="J316" i="13"/>
  <c r="J828" i="13"/>
  <c r="J1003" i="13"/>
  <c r="J576" i="13"/>
  <c r="J1175" i="13"/>
  <c r="J224" i="13"/>
  <c r="J742" i="13"/>
  <c r="J1090" i="13"/>
  <c r="J144" i="13"/>
  <c r="D226" i="13"/>
  <c r="G225" i="13"/>
  <c r="D579" i="13"/>
  <c r="G578" i="13"/>
  <c r="D1177" i="13"/>
  <c r="G1176" i="13"/>
  <c r="D149" i="20"/>
  <c r="G148" i="20"/>
  <c r="H148" i="20"/>
  <c r="D1092" i="13"/>
  <c r="G1091" i="13"/>
  <c r="D744" i="13"/>
  <c r="G743" i="13"/>
  <c r="D1005" i="13"/>
  <c r="G1004" i="13"/>
  <c r="D146" i="13"/>
  <c r="G145" i="13"/>
  <c r="H577" i="13"/>
  <c r="I577" i="13"/>
  <c r="E238" i="20"/>
  <c r="F238" i="20" s="1"/>
  <c r="E593" i="20"/>
  <c r="F593" i="20" s="1"/>
  <c r="H394" i="13"/>
  <c r="I394" i="13"/>
  <c r="H916" i="13"/>
  <c r="I916" i="13"/>
  <c r="E1213" i="20"/>
  <c r="F1213" i="20" s="1"/>
  <c r="H829" i="13"/>
  <c r="I829" i="13"/>
  <c r="I503" i="20"/>
  <c r="E395" i="13"/>
  <c r="F395" i="13" s="1"/>
  <c r="E917" i="13"/>
  <c r="F917" i="13" s="1"/>
  <c r="D918" i="13" s="1"/>
  <c r="E830" i="13"/>
  <c r="F830" i="13" s="1"/>
  <c r="E329" i="20"/>
  <c r="F329" i="20" s="1"/>
  <c r="E1264" i="13"/>
  <c r="F1264" i="13" s="1"/>
  <c r="H328" i="20"/>
  <c r="I327" i="20"/>
  <c r="E505" i="20"/>
  <c r="F505" i="20" s="1"/>
  <c r="D506" i="20" s="1"/>
  <c r="E1040" i="20"/>
  <c r="F1040" i="20" s="1"/>
  <c r="D1041" i="20" s="1"/>
  <c r="E417" i="20"/>
  <c r="F417" i="20" s="1"/>
  <c r="D418" i="20" s="1"/>
  <c r="H237" i="20"/>
  <c r="H592" i="20"/>
  <c r="H487" i="13"/>
  <c r="I487" i="13"/>
  <c r="I769" i="20"/>
  <c r="H653" i="13"/>
  <c r="I653" i="13"/>
  <c r="G1263" i="13"/>
  <c r="G328" i="20"/>
  <c r="I1038" i="20"/>
  <c r="G237" i="20"/>
  <c r="G592" i="20"/>
  <c r="E1131" i="20"/>
  <c r="F1131" i="20" s="1"/>
  <c r="E488" i="13"/>
  <c r="F488" i="13" s="1"/>
  <c r="I1212" i="20"/>
  <c r="E770" i="20"/>
  <c r="F770" i="20" s="1"/>
  <c r="E654" i="13"/>
  <c r="F654" i="13" s="1"/>
  <c r="D655" i="13" s="1"/>
  <c r="D1361" i="13" l="1"/>
  <c r="E1361" i="13" s="1"/>
  <c r="G1360" i="13"/>
  <c r="J1359" i="13"/>
  <c r="I317" i="13"/>
  <c r="J317" i="13" s="1"/>
  <c r="I859" i="20"/>
  <c r="I504" i="20"/>
  <c r="I947" i="20"/>
  <c r="I416" i="20"/>
  <c r="I681" i="20"/>
  <c r="I1039" i="20"/>
  <c r="D1132" i="20"/>
  <c r="G1131" i="20"/>
  <c r="D771" i="20"/>
  <c r="E771" i="20" s="1"/>
  <c r="F771" i="20" s="1"/>
  <c r="G770" i="20"/>
  <c r="D489" i="13"/>
  <c r="E489" i="13" s="1"/>
  <c r="F489" i="13" s="1"/>
  <c r="G488" i="13"/>
  <c r="H488" i="13" s="1"/>
  <c r="F318" i="13"/>
  <c r="D319" i="13" s="1"/>
  <c r="E319" i="13" s="1"/>
  <c r="F319" i="13" s="1"/>
  <c r="G654" i="13"/>
  <c r="H654" i="13" s="1"/>
  <c r="I592" i="20"/>
  <c r="J916" i="13"/>
  <c r="J577" i="13"/>
  <c r="D396" i="13"/>
  <c r="G395" i="13"/>
  <c r="D330" i="20"/>
  <c r="H329" i="20"/>
  <c r="G329" i="20"/>
  <c r="D949" i="20"/>
  <c r="G948" i="20"/>
  <c r="H948" i="20"/>
  <c r="D683" i="20"/>
  <c r="H682" i="20"/>
  <c r="G682" i="20"/>
  <c r="D1214" i="20"/>
  <c r="G1213" i="20"/>
  <c r="H1213" i="20"/>
  <c r="D239" i="20"/>
  <c r="G238" i="20"/>
  <c r="H238" i="20"/>
  <c r="D831" i="13"/>
  <c r="G830" i="13"/>
  <c r="D1265" i="13"/>
  <c r="G1264" i="13"/>
  <c r="D594" i="20"/>
  <c r="G593" i="20"/>
  <c r="H593" i="20"/>
  <c r="E418" i="20"/>
  <c r="F418" i="20" s="1"/>
  <c r="E861" i="20"/>
  <c r="F861" i="20" s="1"/>
  <c r="E918" i="13"/>
  <c r="F918" i="13" s="1"/>
  <c r="E744" i="13"/>
  <c r="F744" i="13" s="1"/>
  <c r="H1004" i="13"/>
  <c r="I1004" i="13"/>
  <c r="H1091" i="13"/>
  <c r="I1091" i="13"/>
  <c r="E149" i="20"/>
  <c r="F149" i="20" s="1"/>
  <c r="E579" i="13"/>
  <c r="F579" i="13" s="1"/>
  <c r="E1041" i="20"/>
  <c r="F1041" i="20" s="1"/>
  <c r="E146" i="13"/>
  <c r="F146" i="13" s="1"/>
  <c r="H578" i="13"/>
  <c r="I578" i="13"/>
  <c r="I237" i="20"/>
  <c r="J487" i="13"/>
  <c r="H417" i="20"/>
  <c r="H1040" i="20"/>
  <c r="H505" i="20"/>
  <c r="H860" i="20"/>
  <c r="G917" i="13"/>
  <c r="E1005" i="13"/>
  <c r="F1005" i="13" s="1"/>
  <c r="E1092" i="13"/>
  <c r="F1092" i="13" s="1"/>
  <c r="H1176" i="13"/>
  <c r="I1176" i="13"/>
  <c r="H225" i="13"/>
  <c r="I225" i="13"/>
  <c r="E506" i="20"/>
  <c r="F506" i="20" s="1"/>
  <c r="D507" i="20" s="1"/>
  <c r="E655" i="13"/>
  <c r="F655" i="13" s="1"/>
  <c r="E1132" i="20"/>
  <c r="F1132" i="20" s="1"/>
  <c r="H770" i="20"/>
  <c r="H1131" i="20"/>
  <c r="H1263" i="13"/>
  <c r="I1263" i="13"/>
  <c r="J653" i="13"/>
  <c r="G417" i="20"/>
  <c r="G1040" i="20"/>
  <c r="G505" i="20"/>
  <c r="G860" i="20"/>
  <c r="I328" i="20"/>
  <c r="J829" i="13"/>
  <c r="J394" i="13"/>
  <c r="H145" i="13"/>
  <c r="I145" i="13"/>
  <c r="H743" i="13"/>
  <c r="I743" i="13"/>
  <c r="I148" i="20"/>
  <c r="E1177" i="13"/>
  <c r="F1177" i="13" s="1"/>
  <c r="E226" i="13"/>
  <c r="F226" i="13" s="1"/>
  <c r="D227" i="13" s="1"/>
  <c r="H1360" i="13" l="1"/>
  <c r="I1360" i="13"/>
  <c r="F1361" i="13"/>
  <c r="D1362" i="13" s="1"/>
  <c r="E1362" i="13" s="1"/>
  <c r="I654" i="13"/>
  <c r="J654" i="13" s="1"/>
  <c r="I488" i="13"/>
  <c r="J488" i="13" s="1"/>
  <c r="G318" i="13"/>
  <c r="H318" i="13" s="1"/>
  <c r="I1131" i="20"/>
  <c r="D656" i="13"/>
  <c r="E656" i="13" s="1"/>
  <c r="F656" i="13" s="1"/>
  <c r="G655" i="13"/>
  <c r="I655" i="13" s="1"/>
  <c r="D580" i="13"/>
  <c r="E580" i="13" s="1"/>
  <c r="F580" i="13" s="1"/>
  <c r="G579" i="13"/>
  <c r="H579" i="13" s="1"/>
  <c r="D150" i="20"/>
  <c r="E150" i="20" s="1"/>
  <c r="F150" i="20" s="1"/>
  <c r="G149" i="20"/>
  <c r="H149" i="20"/>
  <c r="D1006" i="13"/>
  <c r="E1006" i="13" s="1"/>
  <c r="F1006" i="13" s="1"/>
  <c r="G1005" i="13"/>
  <c r="I1005" i="13" s="1"/>
  <c r="D862" i="20"/>
  <c r="E862" i="20" s="1"/>
  <c r="F862" i="20" s="1"/>
  <c r="G861" i="20"/>
  <c r="I770" i="20"/>
  <c r="J1004" i="13"/>
  <c r="J1091" i="13"/>
  <c r="J1176" i="13"/>
  <c r="I1213" i="20"/>
  <c r="J145" i="13"/>
  <c r="J225" i="13"/>
  <c r="I417" i="20"/>
  <c r="J578" i="13"/>
  <c r="I593" i="20"/>
  <c r="I948" i="20"/>
  <c r="I329" i="20"/>
  <c r="I860" i="20"/>
  <c r="D1178" i="13"/>
  <c r="G1177" i="13"/>
  <c r="D919" i="13"/>
  <c r="G918" i="13"/>
  <c r="D320" i="13"/>
  <c r="G319" i="13"/>
  <c r="D419" i="20"/>
  <c r="H418" i="20"/>
  <c r="G418" i="20"/>
  <c r="D1133" i="20"/>
  <c r="H1132" i="20"/>
  <c r="G1132" i="20"/>
  <c r="D147" i="13"/>
  <c r="G146" i="13"/>
  <c r="D772" i="20"/>
  <c r="G771" i="20"/>
  <c r="H771" i="20"/>
  <c r="D1093" i="13"/>
  <c r="G1092" i="13"/>
  <c r="D490" i="13"/>
  <c r="G489" i="13"/>
  <c r="D1042" i="20"/>
  <c r="H1041" i="20"/>
  <c r="G1041" i="20"/>
  <c r="D745" i="13"/>
  <c r="G744" i="13"/>
  <c r="H917" i="13"/>
  <c r="I917" i="13"/>
  <c r="E1214" i="20"/>
  <c r="F1214" i="20" s="1"/>
  <c r="D1215" i="20" s="1"/>
  <c r="G226" i="13"/>
  <c r="H830" i="13"/>
  <c r="I830" i="13"/>
  <c r="E239" i="20"/>
  <c r="F239" i="20" s="1"/>
  <c r="E330" i="20"/>
  <c r="F330" i="20" s="1"/>
  <c r="E507" i="20"/>
  <c r="F507" i="20" s="1"/>
  <c r="H506" i="20"/>
  <c r="I505" i="20"/>
  <c r="E594" i="20"/>
  <c r="F594" i="20" s="1"/>
  <c r="E831" i="13"/>
  <c r="F831" i="13" s="1"/>
  <c r="I682" i="20"/>
  <c r="E949" i="20"/>
  <c r="F949" i="20" s="1"/>
  <c r="D950" i="20" s="1"/>
  <c r="H395" i="13"/>
  <c r="I395" i="13"/>
  <c r="E227" i="13"/>
  <c r="F227" i="13" s="1"/>
  <c r="I318" i="13"/>
  <c r="E1265" i="13"/>
  <c r="F1265" i="13" s="1"/>
  <c r="D1266" i="13" s="1"/>
  <c r="J743" i="13"/>
  <c r="J1263" i="13"/>
  <c r="G506" i="20"/>
  <c r="I1040" i="20"/>
  <c r="H861" i="20"/>
  <c r="H1264" i="13"/>
  <c r="I1264" i="13"/>
  <c r="I238" i="20"/>
  <c r="E683" i="20"/>
  <c r="F683" i="20" s="1"/>
  <c r="E396" i="13"/>
  <c r="F396" i="13" s="1"/>
  <c r="J1360" i="13" l="1"/>
  <c r="G1361" i="13"/>
  <c r="F1362" i="13"/>
  <c r="I861" i="20"/>
  <c r="H1005" i="13"/>
  <c r="J1005" i="13" s="1"/>
  <c r="H655" i="13"/>
  <c r="J655" i="13" s="1"/>
  <c r="I149" i="20"/>
  <c r="D508" i="20"/>
  <c r="E508" i="20" s="1"/>
  <c r="F508" i="20" s="1"/>
  <c r="D509" i="20" s="1"/>
  <c r="G507" i="20"/>
  <c r="I579" i="13"/>
  <c r="J579" i="13" s="1"/>
  <c r="G949" i="20"/>
  <c r="J1264" i="13"/>
  <c r="J318" i="13"/>
  <c r="I418" i="20"/>
  <c r="I506" i="20"/>
  <c r="J917" i="13"/>
  <c r="D832" i="13"/>
  <c r="G831" i="13"/>
  <c r="D1007" i="13"/>
  <c r="G1006" i="13"/>
  <c r="D657" i="13"/>
  <c r="G656" i="13"/>
  <c r="D397" i="13"/>
  <c r="G396" i="13"/>
  <c r="D595" i="20"/>
  <c r="H594" i="20"/>
  <c r="G594" i="20"/>
  <c r="D151" i="20"/>
  <c r="H150" i="20"/>
  <c r="G150" i="20"/>
  <c r="D863" i="20"/>
  <c r="G862" i="20"/>
  <c r="H862" i="20"/>
  <c r="D228" i="13"/>
  <c r="G227" i="13"/>
  <c r="D684" i="20"/>
  <c r="G683" i="20"/>
  <c r="H683" i="20"/>
  <c r="D331" i="20"/>
  <c r="H330" i="20"/>
  <c r="G330" i="20"/>
  <c r="D581" i="13"/>
  <c r="G580" i="13"/>
  <c r="D240" i="20"/>
  <c r="H239" i="20"/>
  <c r="G239" i="20"/>
  <c r="E1215" i="20"/>
  <c r="F1215" i="20" s="1"/>
  <c r="D1216" i="20" s="1"/>
  <c r="E490" i="13"/>
  <c r="F490" i="13" s="1"/>
  <c r="H918" i="13"/>
  <c r="I918" i="13"/>
  <c r="G1265" i="13"/>
  <c r="J395" i="13"/>
  <c r="H226" i="13"/>
  <c r="I226" i="13"/>
  <c r="I1041" i="20"/>
  <c r="H1092" i="13"/>
  <c r="I1092" i="13"/>
  <c r="E772" i="20"/>
  <c r="F772" i="20" s="1"/>
  <c r="D773" i="20" s="1"/>
  <c r="I1132" i="20"/>
  <c r="E419" i="20"/>
  <c r="F419" i="20" s="1"/>
  <c r="E919" i="13"/>
  <c r="F919" i="13" s="1"/>
  <c r="D920" i="13" s="1"/>
  <c r="H1214" i="20"/>
  <c r="H744" i="13"/>
  <c r="I744" i="13"/>
  <c r="E1042" i="20"/>
  <c r="F1042" i="20" s="1"/>
  <c r="D1043" i="20" s="1"/>
  <c r="E1093" i="13"/>
  <c r="F1093" i="13" s="1"/>
  <c r="H146" i="13"/>
  <c r="I146" i="13"/>
  <c r="E1133" i="20"/>
  <c r="F1133" i="20" s="1"/>
  <c r="H319" i="13"/>
  <c r="I319" i="13"/>
  <c r="H1177" i="13"/>
  <c r="I1177" i="13"/>
  <c r="E1266" i="13"/>
  <c r="F1266" i="13" s="1"/>
  <c r="E950" i="20"/>
  <c r="F950" i="20" s="1"/>
  <c r="D951" i="20" s="1"/>
  <c r="H949" i="20"/>
  <c r="H507" i="20"/>
  <c r="J830" i="13"/>
  <c r="G1214" i="20"/>
  <c r="E745" i="13"/>
  <c r="F745" i="13" s="1"/>
  <c r="H489" i="13"/>
  <c r="I489" i="13"/>
  <c r="I771" i="20"/>
  <c r="E147" i="13"/>
  <c r="F147" i="13" s="1"/>
  <c r="D148" i="13" s="1"/>
  <c r="E320" i="13"/>
  <c r="F320" i="13" s="1"/>
  <c r="E1178" i="13"/>
  <c r="F1178" i="13" s="1"/>
  <c r="D1363" i="13" l="1"/>
  <c r="E1363" i="13" s="1"/>
  <c r="G1362" i="13"/>
  <c r="H1361" i="13"/>
  <c r="I1361" i="13"/>
  <c r="I507" i="20"/>
  <c r="I949" i="20"/>
  <c r="D1094" i="13"/>
  <c r="E1094" i="13" s="1"/>
  <c r="F1094" i="13" s="1"/>
  <c r="G1093" i="13"/>
  <c r="H1093" i="13" s="1"/>
  <c r="J226" i="13"/>
  <c r="I683" i="20"/>
  <c r="J1177" i="13"/>
  <c r="J489" i="13"/>
  <c r="J146" i="13"/>
  <c r="I1214" i="20"/>
  <c r="I330" i="20"/>
  <c r="J1092" i="13"/>
  <c r="J918" i="13"/>
  <c r="D420" i="20"/>
  <c r="H419" i="20"/>
  <c r="G419" i="20"/>
  <c r="D746" i="13"/>
  <c r="G745" i="13"/>
  <c r="D1267" i="13"/>
  <c r="G1266" i="13"/>
  <c r="D1179" i="13"/>
  <c r="G1178" i="13"/>
  <c r="D1134" i="20"/>
  <c r="G1133" i="20"/>
  <c r="H1133" i="20"/>
  <c r="D321" i="13"/>
  <c r="G320" i="13"/>
  <c r="D491" i="13"/>
  <c r="G490" i="13"/>
  <c r="E148" i="13"/>
  <c r="F148" i="13" s="1"/>
  <c r="E951" i="20"/>
  <c r="F951" i="20" s="1"/>
  <c r="E151" i="20"/>
  <c r="F151" i="20" s="1"/>
  <c r="D152" i="20" s="1"/>
  <c r="H508" i="20"/>
  <c r="E920" i="13"/>
  <c r="F920" i="13" s="1"/>
  <c r="D921" i="13" s="1"/>
  <c r="H772" i="20"/>
  <c r="H580" i="13"/>
  <c r="I580" i="13"/>
  <c r="E331" i="20"/>
  <c r="F331" i="20" s="1"/>
  <c r="D332" i="20" s="1"/>
  <c r="H227" i="13"/>
  <c r="I227" i="13"/>
  <c r="E863" i="20"/>
  <c r="F863" i="20" s="1"/>
  <c r="E397" i="13"/>
  <c r="F397" i="13" s="1"/>
  <c r="D398" i="13" s="1"/>
  <c r="E1007" i="13"/>
  <c r="F1007" i="13" s="1"/>
  <c r="E509" i="20"/>
  <c r="F509" i="20" s="1"/>
  <c r="E1216" i="20"/>
  <c r="F1216" i="20" s="1"/>
  <c r="H396" i="13"/>
  <c r="I396" i="13"/>
  <c r="G147" i="13"/>
  <c r="H950" i="20"/>
  <c r="H1042" i="20"/>
  <c r="J744" i="13"/>
  <c r="G508" i="20"/>
  <c r="G919" i="13"/>
  <c r="G772" i="20"/>
  <c r="H1215" i="20"/>
  <c r="E581" i="13"/>
  <c r="F581" i="13" s="1"/>
  <c r="E228" i="13"/>
  <c r="F228" i="13" s="1"/>
  <c r="I594" i="20"/>
  <c r="H656" i="13"/>
  <c r="I656" i="13"/>
  <c r="H831" i="13"/>
  <c r="I831" i="13"/>
  <c r="E1043" i="20"/>
  <c r="F1043" i="20" s="1"/>
  <c r="E773" i="20"/>
  <c r="F773" i="20" s="1"/>
  <c r="D774" i="20" s="1"/>
  <c r="H1265" i="13"/>
  <c r="I1265" i="13"/>
  <c r="E240" i="20"/>
  <c r="F240" i="20" s="1"/>
  <c r="D241" i="20" s="1"/>
  <c r="E684" i="20"/>
  <c r="F684" i="20" s="1"/>
  <c r="D685" i="20" s="1"/>
  <c r="H1006" i="13"/>
  <c r="I1006" i="13"/>
  <c r="G950" i="20"/>
  <c r="J319" i="13"/>
  <c r="G1042" i="20"/>
  <c r="G1215" i="20"/>
  <c r="I239" i="20"/>
  <c r="I862" i="20"/>
  <c r="I150" i="20"/>
  <c r="E595" i="20"/>
  <c r="F595" i="20" s="1"/>
  <c r="E657" i="13"/>
  <c r="F657" i="13" s="1"/>
  <c r="E832" i="13"/>
  <c r="F832" i="13" s="1"/>
  <c r="J1361" i="13" l="1"/>
  <c r="H1362" i="13"/>
  <c r="I1362" i="13"/>
  <c r="F1363" i="13"/>
  <c r="D1364" i="13" s="1"/>
  <c r="E1364" i="13" s="1"/>
  <c r="I1093" i="13"/>
  <c r="J1093" i="13" s="1"/>
  <c r="D1008" i="13"/>
  <c r="E1008" i="13" s="1"/>
  <c r="F1008" i="13" s="1"/>
  <c r="G1007" i="13"/>
  <c r="H1007" i="13" s="1"/>
  <c r="D510" i="20"/>
  <c r="E510" i="20" s="1"/>
  <c r="F510" i="20" s="1"/>
  <c r="D511" i="20" s="1"/>
  <c r="H509" i="20"/>
  <c r="G509" i="20"/>
  <c r="D229" i="13"/>
  <c r="G228" i="13"/>
  <c r="H228" i="13" s="1"/>
  <c r="G773" i="20"/>
  <c r="J1265" i="13"/>
  <c r="J656" i="13"/>
  <c r="J227" i="13"/>
  <c r="J580" i="13"/>
  <c r="I772" i="20"/>
  <c r="I1133" i="20"/>
  <c r="I950" i="20"/>
  <c r="J396" i="13"/>
  <c r="I508" i="20"/>
  <c r="D596" i="20"/>
  <c r="G595" i="20"/>
  <c r="H595" i="20"/>
  <c r="D1044" i="20"/>
  <c r="H1043" i="20"/>
  <c r="G1043" i="20"/>
  <c r="D864" i="20"/>
  <c r="H863" i="20"/>
  <c r="G863" i="20"/>
  <c r="D658" i="13"/>
  <c r="G657" i="13"/>
  <c r="D1095" i="13"/>
  <c r="G1094" i="13"/>
  <c r="D1217" i="20"/>
  <c r="H1216" i="20"/>
  <c r="G1216" i="20"/>
  <c r="D582" i="13"/>
  <c r="G581" i="13"/>
  <c r="D952" i="20"/>
  <c r="G951" i="20"/>
  <c r="H951" i="20"/>
  <c r="D833" i="13"/>
  <c r="G832" i="13"/>
  <c r="D149" i="13"/>
  <c r="G148" i="13"/>
  <c r="E685" i="20"/>
  <c r="F685" i="20" s="1"/>
  <c r="E332" i="20"/>
  <c r="F332" i="20" s="1"/>
  <c r="E774" i="20"/>
  <c r="F774" i="20" s="1"/>
  <c r="E229" i="13"/>
  <c r="F229" i="13" s="1"/>
  <c r="H147" i="13"/>
  <c r="I147" i="13"/>
  <c r="E398" i="13"/>
  <c r="F398" i="13" s="1"/>
  <c r="E921" i="13"/>
  <c r="F921" i="13" s="1"/>
  <c r="D922" i="13" s="1"/>
  <c r="H151" i="20"/>
  <c r="E491" i="13"/>
  <c r="F491" i="13" s="1"/>
  <c r="H1266" i="13"/>
  <c r="I1266" i="13"/>
  <c r="E241" i="20"/>
  <c r="F241" i="20" s="1"/>
  <c r="H919" i="13"/>
  <c r="I919" i="13"/>
  <c r="I1007" i="13"/>
  <c r="E152" i="20"/>
  <c r="F152" i="20" s="1"/>
  <c r="H490" i="13"/>
  <c r="I490" i="13"/>
  <c r="E1179" i="13"/>
  <c r="F1179" i="13" s="1"/>
  <c r="D1180" i="13" s="1"/>
  <c r="H684" i="20"/>
  <c r="H240" i="20"/>
  <c r="G684" i="20"/>
  <c r="G240" i="20"/>
  <c r="I1215" i="20"/>
  <c r="H331" i="20"/>
  <c r="G151" i="20"/>
  <c r="H320" i="13"/>
  <c r="I320" i="13"/>
  <c r="E1134" i="20"/>
  <c r="F1134" i="20" s="1"/>
  <c r="E1267" i="13"/>
  <c r="F1267" i="13" s="1"/>
  <c r="I419" i="20"/>
  <c r="E746" i="13"/>
  <c r="F746" i="13" s="1"/>
  <c r="J1006" i="13"/>
  <c r="H773" i="20"/>
  <c r="J831" i="13"/>
  <c r="I1042" i="20"/>
  <c r="G397" i="13"/>
  <c r="G331" i="20"/>
  <c r="G920" i="13"/>
  <c r="E321" i="13"/>
  <c r="F321" i="13" s="1"/>
  <c r="H1178" i="13"/>
  <c r="I1178" i="13"/>
  <c r="H745" i="13"/>
  <c r="I745" i="13"/>
  <c r="E420" i="20"/>
  <c r="F420" i="20" s="1"/>
  <c r="D421" i="20" s="1"/>
  <c r="J1362" i="13" l="1"/>
  <c r="F1364" i="13"/>
  <c r="G1363" i="13"/>
  <c r="I228" i="13"/>
  <c r="J228" i="13" s="1"/>
  <c r="I509" i="20"/>
  <c r="D1135" i="20"/>
  <c r="E1135" i="20" s="1"/>
  <c r="F1135" i="20" s="1"/>
  <c r="D1136" i="20" s="1"/>
  <c r="G1134" i="20"/>
  <c r="D230" i="13"/>
  <c r="E230" i="13" s="1"/>
  <c r="F230" i="13" s="1"/>
  <c r="G229" i="13"/>
  <c r="H229" i="13" s="1"/>
  <c r="D686" i="20"/>
  <c r="E686" i="20" s="1"/>
  <c r="F686" i="20" s="1"/>
  <c r="G685" i="20"/>
  <c r="D322" i="13"/>
  <c r="E322" i="13" s="1"/>
  <c r="F322" i="13" s="1"/>
  <c r="D323" i="13" s="1"/>
  <c r="G321" i="13"/>
  <c r="I321" i="13" s="1"/>
  <c r="D747" i="13"/>
  <c r="E747" i="13" s="1"/>
  <c r="F747" i="13" s="1"/>
  <c r="G746" i="13"/>
  <c r="H746" i="13" s="1"/>
  <c r="D1009" i="13"/>
  <c r="E1009" i="13" s="1"/>
  <c r="F1009" i="13" s="1"/>
  <c r="G1008" i="13"/>
  <c r="I1008" i="13" s="1"/>
  <c r="D399" i="13"/>
  <c r="E399" i="13" s="1"/>
  <c r="F399" i="13" s="1"/>
  <c r="G398" i="13"/>
  <c r="H398" i="13" s="1"/>
  <c r="D492" i="13"/>
  <c r="E492" i="13" s="1"/>
  <c r="F492" i="13" s="1"/>
  <c r="D493" i="13" s="1"/>
  <c r="G491" i="13"/>
  <c r="I491" i="13" s="1"/>
  <c r="I773" i="20"/>
  <c r="G1179" i="13"/>
  <c r="I1179" i="13" s="1"/>
  <c r="J745" i="13"/>
  <c r="J147" i="13"/>
  <c r="I595" i="20"/>
  <c r="J1007" i="13"/>
  <c r="J1178" i="13"/>
  <c r="J1266" i="13"/>
  <c r="I240" i="20"/>
  <c r="J919" i="13"/>
  <c r="J490" i="13"/>
  <c r="I863" i="20"/>
  <c r="D242" i="20"/>
  <c r="G241" i="20"/>
  <c r="H241" i="20"/>
  <c r="D153" i="20"/>
  <c r="G152" i="20"/>
  <c r="H152" i="20"/>
  <c r="D775" i="20"/>
  <c r="H774" i="20"/>
  <c r="G774" i="20"/>
  <c r="D1268" i="13"/>
  <c r="G1267" i="13"/>
  <c r="D333" i="20"/>
  <c r="H332" i="20"/>
  <c r="G332" i="20"/>
  <c r="E421" i="20"/>
  <c r="F421" i="20" s="1"/>
  <c r="E511" i="20"/>
  <c r="F511" i="20" s="1"/>
  <c r="D512" i="20" s="1"/>
  <c r="E1095" i="13"/>
  <c r="F1095" i="13" s="1"/>
  <c r="H920" i="13"/>
  <c r="I920" i="13"/>
  <c r="G921" i="13"/>
  <c r="H832" i="13"/>
  <c r="I832" i="13"/>
  <c r="E952" i="20"/>
  <c r="F952" i="20" s="1"/>
  <c r="I1216" i="20"/>
  <c r="H657" i="13"/>
  <c r="I657" i="13"/>
  <c r="E864" i="20"/>
  <c r="F864" i="20" s="1"/>
  <c r="H1008" i="13"/>
  <c r="H491" i="13"/>
  <c r="E149" i="13"/>
  <c r="F149" i="13" s="1"/>
  <c r="E1044" i="20"/>
  <c r="F1044" i="20" s="1"/>
  <c r="E1180" i="13"/>
  <c r="F1180" i="13" s="1"/>
  <c r="D1181" i="13" s="1"/>
  <c r="I331" i="20"/>
  <c r="H510" i="20"/>
  <c r="I684" i="20"/>
  <c r="E833" i="13"/>
  <c r="F833" i="13" s="1"/>
  <c r="H581" i="13"/>
  <c r="I581" i="13"/>
  <c r="E1217" i="20"/>
  <c r="F1217" i="20" s="1"/>
  <c r="E658" i="13"/>
  <c r="F658" i="13" s="1"/>
  <c r="E922" i="13"/>
  <c r="F922" i="13" s="1"/>
  <c r="H420" i="20"/>
  <c r="G420" i="20"/>
  <c r="H397" i="13"/>
  <c r="I397" i="13"/>
  <c r="H1134" i="20"/>
  <c r="J320" i="13"/>
  <c r="G510" i="20"/>
  <c r="I151" i="20"/>
  <c r="H685" i="20"/>
  <c r="H148" i="13"/>
  <c r="I148" i="13"/>
  <c r="I951" i="20"/>
  <c r="E582" i="13"/>
  <c r="F582" i="13" s="1"/>
  <c r="D583" i="13" s="1"/>
  <c r="H1094" i="13"/>
  <c r="I1094" i="13"/>
  <c r="I1043" i="20"/>
  <c r="E596" i="20"/>
  <c r="F596" i="20" s="1"/>
  <c r="D1365" i="13" l="1"/>
  <c r="E1365" i="13" s="1"/>
  <c r="G1364" i="13"/>
  <c r="H1363" i="13"/>
  <c r="I1363" i="13"/>
  <c r="H1179" i="13"/>
  <c r="J1179" i="13" s="1"/>
  <c r="H321" i="13"/>
  <c r="J321" i="13" s="1"/>
  <c r="I398" i="13"/>
  <c r="J398" i="13" s="1"/>
  <c r="I746" i="13"/>
  <c r="J746" i="13" s="1"/>
  <c r="I685" i="20"/>
  <c r="I1134" i="20"/>
  <c r="D923" i="13"/>
  <c r="E923" i="13" s="1"/>
  <c r="F923" i="13" s="1"/>
  <c r="G922" i="13"/>
  <c r="I922" i="13" s="1"/>
  <c r="D687" i="20"/>
  <c r="G686" i="20"/>
  <c r="D150" i="13"/>
  <c r="E150" i="13" s="1"/>
  <c r="F150" i="13" s="1"/>
  <c r="G149" i="13"/>
  <c r="I149" i="13" s="1"/>
  <c r="D1096" i="13"/>
  <c r="G1095" i="13"/>
  <c r="H1095" i="13" s="1"/>
  <c r="D1218" i="20"/>
  <c r="G1217" i="20"/>
  <c r="I229" i="13"/>
  <c r="J229" i="13" s="1"/>
  <c r="H1135" i="20"/>
  <c r="I241" i="20"/>
  <c r="J1094" i="13"/>
  <c r="J148" i="13"/>
  <c r="J491" i="13"/>
  <c r="J1008" i="13"/>
  <c r="I774" i="20"/>
  <c r="J657" i="13"/>
  <c r="J832" i="13"/>
  <c r="J920" i="13"/>
  <c r="I152" i="20"/>
  <c r="D953" i="20"/>
  <c r="G952" i="20"/>
  <c r="H952" i="20"/>
  <c r="D748" i="13"/>
  <c r="G747" i="13"/>
  <c r="D1010" i="13"/>
  <c r="G1009" i="13"/>
  <c r="D422" i="20"/>
  <c r="G421" i="20"/>
  <c r="H421" i="20"/>
  <c r="D597" i="20"/>
  <c r="G596" i="20"/>
  <c r="H596" i="20"/>
  <c r="D865" i="20"/>
  <c r="G864" i="20"/>
  <c r="H864" i="20"/>
  <c r="D659" i="13"/>
  <c r="G658" i="13"/>
  <c r="D1045" i="20"/>
  <c r="G1044" i="20"/>
  <c r="H1044" i="20"/>
  <c r="D231" i="13"/>
  <c r="G230" i="13"/>
  <c r="D834" i="13"/>
  <c r="G833" i="13"/>
  <c r="D400" i="13"/>
  <c r="G399" i="13"/>
  <c r="E323" i="13"/>
  <c r="F323" i="13" s="1"/>
  <c r="E1181" i="13"/>
  <c r="F1181" i="13" s="1"/>
  <c r="D1182" i="13" s="1"/>
  <c r="E493" i="13"/>
  <c r="F493" i="13" s="1"/>
  <c r="E1136" i="20"/>
  <c r="F1136" i="20" s="1"/>
  <c r="E512" i="20"/>
  <c r="F512" i="20" s="1"/>
  <c r="E333" i="20"/>
  <c r="F333" i="20" s="1"/>
  <c r="D334" i="20" s="1"/>
  <c r="E153" i="20"/>
  <c r="F153" i="20" s="1"/>
  <c r="E583" i="13"/>
  <c r="F583" i="13" s="1"/>
  <c r="D584" i="13" s="1"/>
  <c r="G582" i="13"/>
  <c r="I510" i="20"/>
  <c r="E687" i="20"/>
  <c r="F687" i="20" s="1"/>
  <c r="H921" i="13"/>
  <c r="I921" i="13"/>
  <c r="E1096" i="13"/>
  <c r="F1096" i="13" s="1"/>
  <c r="D1097" i="13" s="1"/>
  <c r="H1267" i="13"/>
  <c r="I1267" i="13"/>
  <c r="E775" i="20"/>
  <c r="F775" i="20" s="1"/>
  <c r="D776" i="20" s="1"/>
  <c r="I420" i="20"/>
  <c r="G1135" i="20"/>
  <c r="H511" i="20"/>
  <c r="E1268" i="13"/>
  <c r="F1268" i="13" s="1"/>
  <c r="J397" i="13"/>
  <c r="G322" i="13"/>
  <c r="H1217" i="20"/>
  <c r="J581" i="13"/>
  <c r="G1180" i="13"/>
  <c r="H686" i="20"/>
  <c r="G492" i="13"/>
  <c r="G511" i="20"/>
  <c r="I332" i="20"/>
  <c r="E242" i="20"/>
  <c r="F242" i="20" s="1"/>
  <c r="H149" i="13" l="1"/>
  <c r="J1363" i="13"/>
  <c r="H1364" i="13"/>
  <c r="I1364" i="13"/>
  <c r="F1365" i="13"/>
  <c r="D1366" i="13" s="1"/>
  <c r="E1366" i="13" s="1"/>
  <c r="H922" i="13"/>
  <c r="J922" i="13" s="1"/>
  <c r="E1218" i="20"/>
  <c r="F1218" i="20" s="1"/>
  <c r="I1217" i="20"/>
  <c r="I686" i="20"/>
  <c r="D154" i="20"/>
  <c r="E154" i="20" s="1"/>
  <c r="F154" i="20" s="1"/>
  <c r="D155" i="20" s="1"/>
  <c r="G153" i="20"/>
  <c r="D924" i="13"/>
  <c r="E924" i="13" s="1"/>
  <c r="F924" i="13" s="1"/>
  <c r="G923" i="13"/>
  <c r="I923" i="13" s="1"/>
  <c r="D243" i="20"/>
  <c r="E243" i="20" s="1"/>
  <c r="F243" i="20" s="1"/>
  <c r="G242" i="20"/>
  <c r="D151" i="13"/>
  <c r="E151" i="13" s="1"/>
  <c r="F151" i="13" s="1"/>
  <c r="G150" i="13"/>
  <c r="I150" i="13" s="1"/>
  <c r="D1269" i="13"/>
  <c r="E1269" i="13" s="1"/>
  <c r="F1269" i="13" s="1"/>
  <c r="G1268" i="13"/>
  <c r="I1268" i="13" s="1"/>
  <c r="D513" i="20"/>
  <c r="E513" i="20" s="1"/>
  <c r="F513" i="20" s="1"/>
  <c r="G512" i="20"/>
  <c r="I1135" i="20"/>
  <c r="I1095" i="13"/>
  <c r="J1095" i="13" s="1"/>
  <c r="G333" i="20"/>
  <c r="J149" i="13"/>
  <c r="I952" i="20"/>
  <c r="J1267" i="13"/>
  <c r="I421" i="20"/>
  <c r="I864" i="20"/>
  <c r="D688" i="20"/>
  <c r="G687" i="20"/>
  <c r="H687" i="20"/>
  <c r="D1137" i="20"/>
  <c r="G1136" i="20"/>
  <c r="H1136" i="20"/>
  <c r="D324" i="13"/>
  <c r="G323" i="13"/>
  <c r="D494" i="13"/>
  <c r="G493" i="13"/>
  <c r="H1268" i="13"/>
  <c r="H492" i="13"/>
  <c r="I492" i="13"/>
  <c r="H775" i="20"/>
  <c r="E334" i="20"/>
  <c r="F334" i="20" s="1"/>
  <c r="D335" i="20" s="1"/>
  <c r="E1182" i="13"/>
  <c r="F1182" i="13" s="1"/>
  <c r="H399" i="13"/>
  <c r="I399" i="13"/>
  <c r="H230" i="13"/>
  <c r="I230" i="13"/>
  <c r="E1045" i="20"/>
  <c r="F1045" i="20" s="1"/>
  <c r="D1046" i="20" s="1"/>
  <c r="E597" i="20"/>
  <c r="F597" i="20" s="1"/>
  <c r="H1009" i="13"/>
  <c r="I1009" i="13"/>
  <c r="E776" i="20"/>
  <c r="F776" i="20" s="1"/>
  <c r="D777" i="20" s="1"/>
  <c r="E584" i="13"/>
  <c r="F584" i="13" s="1"/>
  <c r="E422" i="20"/>
  <c r="F422" i="20" s="1"/>
  <c r="D423" i="20" s="1"/>
  <c r="H322" i="13"/>
  <c r="I322" i="13"/>
  <c r="G583" i="13"/>
  <c r="G1181" i="13"/>
  <c r="E400" i="13"/>
  <c r="F400" i="13" s="1"/>
  <c r="E231" i="13"/>
  <c r="F231" i="13" s="1"/>
  <c r="H658" i="13"/>
  <c r="I658" i="13"/>
  <c r="E865" i="20"/>
  <c r="F865" i="20" s="1"/>
  <c r="E1010" i="13"/>
  <c r="F1010" i="13" s="1"/>
  <c r="E1097" i="13"/>
  <c r="F1097" i="13" s="1"/>
  <c r="E834" i="13"/>
  <c r="F834" i="13" s="1"/>
  <c r="E748" i="13"/>
  <c r="F748" i="13" s="1"/>
  <c r="G775" i="20"/>
  <c r="H242" i="20"/>
  <c r="H1180" i="13"/>
  <c r="I1180" i="13"/>
  <c r="I511" i="20"/>
  <c r="G1096" i="13"/>
  <c r="J921" i="13"/>
  <c r="H582" i="13"/>
  <c r="I582" i="13"/>
  <c r="H153" i="20"/>
  <c r="H333" i="20"/>
  <c r="H512" i="20"/>
  <c r="H833" i="13"/>
  <c r="I833" i="13"/>
  <c r="I1044" i="20"/>
  <c r="E659" i="13"/>
  <c r="F659" i="13" s="1"/>
  <c r="D660" i="13" s="1"/>
  <c r="I596" i="20"/>
  <c r="H747" i="13"/>
  <c r="I747" i="13"/>
  <c r="E953" i="20"/>
  <c r="F953" i="20" s="1"/>
  <c r="D954" i="20" s="1"/>
  <c r="J1364" i="13" l="1"/>
  <c r="G1365" i="13"/>
  <c r="F1366" i="13"/>
  <c r="I153" i="20"/>
  <c r="I242" i="20"/>
  <c r="H150" i="13"/>
  <c r="J150" i="13" s="1"/>
  <c r="D1219" i="20"/>
  <c r="E1219" i="20" s="1"/>
  <c r="F1219" i="20" s="1"/>
  <c r="D1220" i="20" s="1"/>
  <c r="G1218" i="20"/>
  <c r="H1218" i="20"/>
  <c r="H923" i="13"/>
  <c r="J923" i="13" s="1"/>
  <c r="I333" i="20"/>
  <c r="D585" i="13"/>
  <c r="E585" i="13" s="1"/>
  <c r="F585" i="13" s="1"/>
  <c r="G584" i="13"/>
  <c r="I584" i="13" s="1"/>
  <c r="D1011" i="13"/>
  <c r="G1010" i="13"/>
  <c r="I1010" i="13" s="1"/>
  <c r="D866" i="20"/>
  <c r="E866" i="20" s="1"/>
  <c r="F866" i="20" s="1"/>
  <c r="D867" i="20" s="1"/>
  <c r="G865" i="20"/>
  <c r="H865" i="20"/>
  <c r="I512" i="20"/>
  <c r="G1045" i="20"/>
  <c r="J1180" i="13"/>
  <c r="J492" i="13"/>
  <c r="I1136" i="20"/>
  <c r="J747" i="13"/>
  <c r="J322" i="13"/>
  <c r="I687" i="20"/>
  <c r="J833" i="13"/>
  <c r="J658" i="13"/>
  <c r="J1009" i="13"/>
  <c r="J399" i="13"/>
  <c r="J1268" i="13"/>
  <c r="D749" i="13"/>
  <c r="G748" i="13"/>
  <c r="D152" i="13"/>
  <c r="G151" i="13"/>
  <c r="D925" i="13"/>
  <c r="G924" i="13"/>
  <c r="D835" i="13"/>
  <c r="G834" i="13"/>
  <c r="D1098" i="13"/>
  <c r="G1097" i="13"/>
  <c r="D244" i="20"/>
  <c r="G243" i="20"/>
  <c r="H243" i="20"/>
  <c r="D232" i="13"/>
  <c r="G231" i="13"/>
  <c r="D598" i="20"/>
  <c r="H597" i="20"/>
  <c r="G597" i="20"/>
  <c r="D1183" i="13"/>
  <c r="G1182" i="13"/>
  <c r="D401" i="13"/>
  <c r="G400" i="13"/>
  <c r="D1270" i="13"/>
  <c r="G1269" i="13"/>
  <c r="D514" i="20"/>
  <c r="G513" i="20"/>
  <c r="H513" i="20"/>
  <c r="E1220" i="20"/>
  <c r="F1220" i="20" s="1"/>
  <c r="D1221" i="20" s="1"/>
  <c r="E423" i="20"/>
  <c r="F423" i="20" s="1"/>
  <c r="H583" i="13"/>
  <c r="I583" i="13"/>
  <c r="H776" i="20"/>
  <c r="E1046" i="20"/>
  <c r="F1046" i="20" s="1"/>
  <c r="D1047" i="20" s="1"/>
  <c r="I775" i="20"/>
  <c r="E324" i="13"/>
  <c r="F324" i="13" s="1"/>
  <c r="E1137" i="20"/>
  <c r="F1137" i="20" s="1"/>
  <c r="H953" i="20"/>
  <c r="H1096" i="13"/>
  <c r="I1096" i="13"/>
  <c r="E1011" i="13"/>
  <c r="F1011" i="13" s="1"/>
  <c r="H1219" i="20"/>
  <c r="H422" i="20"/>
  <c r="G776" i="20"/>
  <c r="H334" i="20"/>
  <c r="H154" i="20"/>
  <c r="H493" i="13"/>
  <c r="I493" i="13"/>
  <c r="E954" i="20"/>
  <c r="F954" i="20" s="1"/>
  <c r="D955" i="20" s="1"/>
  <c r="H1181" i="13"/>
  <c r="I1181" i="13"/>
  <c r="E777" i="20"/>
  <c r="F777" i="20" s="1"/>
  <c r="E335" i="20"/>
  <c r="F335" i="20" s="1"/>
  <c r="E155" i="20"/>
  <c r="F155" i="20" s="1"/>
  <c r="H323" i="13"/>
  <c r="I323" i="13"/>
  <c r="E660" i="13"/>
  <c r="F660" i="13" s="1"/>
  <c r="D661" i="13" s="1"/>
  <c r="G953" i="20"/>
  <c r="G659" i="13"/>
  <c r="J582" i="13"/>
  <c r="G1219" i="20"/>
  <c r="G422" i="20"/>
  <c r="H1045" i="20"/>
  <c r="J230" i="13"/>
  <c r="G334" i="20"/>
  <c r="G154" i="20"/>
  <c r="E494" i="13"/>
  <c r="F494" i="13" s="1"/>
  <c r="D495" i="13" s="1"/>
  <c r="E688" i="20"/>
  <c r="F688" i="20" s="1"/>
  <c r="D1367" i="13" l="1"/>
  <c r="E1367" i="13" s="1"/>
  <c r="G1366" i="13"/>
  <c r="H1365" i="13"/>
  <c r="I1365" i="13"/>
  <c r="I1218" i="20"/>
  <c r="H584" i="13"/>
  <c r="J584" i="13" s="1"/>
  <c r="H1010" i="13"/>
  <c r="J1010" i="13" s="1"/>
  <c r="I865" i="20"/>
  <c r="I1045" i="20"/>
  <c r="D689" i="20"/>
  <c r="E689" i="20" s="1"/>
  <c r="F689" i="20" s="1"/>
  <c r="G688" i="20"/>
  <c r="D1012" i="13"/>
  <c r="E1012" i="13" s="1"/>
  <c r="F1012" i="13" s="1"/>
  <c r="G1011" i="13"/>
  <c r="H1011" i="13" s="1"/>
  <c r="H866" i="20"/>
  <c r="G866" i="20"/>
  <c r="I953" i="20"/>
  <c r="I513" i="20"/>
  <c r="I334" i="20"/>
  <c r="I597" i="20"/>
  <c r="J1181" i="13"/>
  <c r="J493" i="13"/>
  <c r="I154" i="20"/>
  <c r="D1138" i="20"/>
  <c r="H1137" i="20"/>
  <c r="G1137" i="20"/>
  <c r="D586" i="13"/>
  <c r="G585" i="13"/>
  <c r="D156" i="20"/>
  <c r="H155" i="20"/>
  <c r="G155" i="20"/>
  <c r="D336" i="20"/>
  <c r="G335" i="20"/>
  <c r="H335" i="20"/>
  <c r="D424" i="20"/>
  <c r="G423" i="20"/>
  <c r="H423" i="20"/>
  <c r="D778" i="20"/>
  <c r="G777" i="20"/>
  <c r="H777" i="20"/>
  <c r="D325" i="13"/>
  <c r="G324" i="13"/>
  <c r="E598" i="20"/>
  <c r="F598" i="20" s="1"/>
  <c r="H1220" i="20"/>
  <c r="E1270" i="13"/>
  <c r="F1270" i="13" s="1"/>
  <c r="E1183" i="13"/>
  <c r="F1183" i="13" s="1"/>
  <c r="D1184" i="13" s="1"/>
  <c r="H231" i="13"/>
  <c r="I231" i="13"/>
  <c r="E244" i="20"/>
  <c r="F244" i="20" s="1"/>
  <c r="E835" i="13"/>
  <c r="F835" i="13" s="1"/>
  <c r="E152" i="13"/>
  <c r="F152" i="13" s="1"/>
  <c r="E661" i="13"/>
  <c r="F661" i="13" s="1"/>
  <c r="D662" i="13" s="1"/>
  <c r="E1047" i="20"/>
  <c r="F1047" i="20" s="1"/>
  <c r="D1048" i="20" s="1"/>
  <c r="E1221" i="20"/>
  <c r="F1221" i="20" s="1"/>
  <c r="D1222" i="20" s="1"/>
  <c r="H151" i="13"/>
  <c r="I151" i="13"/>
  <c r="H659" i="13"/>
  <c r="I659" i="13"/>
  <c r="J323" i="13"/>
  <c r="H954" i="20"/>
  <c r="I422" i="20"/>
  <c r="H1046" i="20"/>
  <c r="I776" i="20"/>
  <c r="G1220" i="20"/>
  <c r="H400" i="13"/>
  <c r="I400" i="13"/>
  <c r="E232" i="13"/>
  <c r="F232" i="13" s="1"/>
  <c r="H1097" i="13"/>
  <c r="I1097" i="13"/>
  <c r="H924" i="13"/>
  <c r="I924" i="13"/>
  <c r="H748" i="13"/>
  <c r="I748" i="13"/>
  <c r="E495" i="13"/>
  <c r="F495" i="13" s="1"/>
  <c r="E955" i="20"/>
  <c r="F955" i="20" s="1"/>
  <c r="H1269" i="13"/>
  <c r="I1269" i="13"/>
  <c r="H1182" i="13"/>
  <c r="I1182" i="13"/>
  <c r="H834" i="13"/>
  <c r="I834" i="13"/>
  <c r="H688" i="20"/>
  <c r="G494" i="13"/>
  <c r="G660" i="13"/>
  <c r="G954" i="20"/>
  <c r="I1219" i="20"/>
  <c r="E867" i="20"/>
  <c r="F867" i="20" s="1"/>
  <c r="J1096" i="13"/>
  <c r="G1046" i="20"/>
  <c r="J583" i="13"/>
  <c r="E514" i="20"/>
  <c r="F514" i="20" s="1"/>
  <c r="D515" i="20" s="1"/>
  <c r="E401" i="13"/>
  <c r="F401" i="13" s="1"/>
  <c r="D402" i="13" s="1"/>
  <c r="I243" i="20"/>
  <c r="E1098" i="13"/>
  <c r="F1098" i="13" s="1"/>
  <c r="D1099" i="13" s="1"/>
  <c r="E925" i="13"/>
  <c r="F925" i="13" s="1"/>
  <c r="D926" i="13" s="1"/>
  <c r="E749" i="13"/>
  <c r="F749" i="13" s="1"/>
  <c r="J1365" i="13" l="1"/>
  <c r="I1366" i="13"/>
  <c r="H1366" i="13"/>
  <c r="G661" i="13"/>
  <c r="I661" i="13" s="1"/>
  <c r="I866" i="20"/>
  <c r="I335" i="20"/>
  <c r="I688" i="20"/>
  <c r="D496" i="13"/>
  <c r="E496" i="13" s="1"/>
  <c r="F496" i="13" s="1"/>
  <c r="G495" i="13"/>
  <c r="I1011" i="13"/>
  <c r="J1011" i="13" s="1"/>
  <c r="G514" i="20"/>
  <c r="J231" i="13"/>
  <c r="J400" i="13"/>
  <c r="J151" i="13"/>
  <c r="I423" i="20"/>
  <c r="J1182" i="13"/>
  <c r="J748" i="13"/>
  <c r="J1097" i="13"/>
  <c r="J659" i="13"/>
  <c r="J924" i="13"/>
  <c r="I954" i="20"/>
  <c r="I1220" i="20"/>
  <c r="D956" i="20"/>
  <c r="H955" i="20"/>
  <c r="G955" i="20"/>
  <c r="D245" i="20"/>
  <c r="G244" i="20"/>
  <c r="H244" i="20"/>
  <c r="D599" i="20"/>
  <c r="G598" i="20"/>
  <c r="H598" i="20"/>
  <c r="D1271" i="13"/>
  <c r="G1270" i="13"/>
  <c r="D750" i="13"/>
  <c r="G749" i="13"/>
  <c r="D233" i="13"/>
  <c r="G232" i="13"/>
  <c r="D690" i="20"/>
  <c r="G689" i="20"/>
  <c r="H689" i="20"/>
  <c r="D153" i="13"/>
  <c r="G152" i="13"/>
  <c r="D868" i="20"/>
  <c r="G867" i="20"/>
  <c r="H867" i="20"/>
  <c r="D836" i="13"/>
  <c r="G835" i="13"/>
  <c r="D1013" i="13"/>
  <c r="G1012" i="13"/>
  <c r="E1099" i="13"/>
  <c r="F1099" i="13" s="1"/>
  <c r="D1100" i="13" s="1"/>
  <c r="H660" i="13"/>
  <c r="I660" i="13"/>
  <c r="E1048" i="20"/>
  <c r="F1048" i="20" s="1"/>
  <c r="E424" i="20"/>
  <c r="F424" i="20" s="1"/>
  <c r="D425" i="20" s="1"/>
  <c r="E586" i="13"/>
  <c r="F586" i="13" s="1"/>
  <c r="E402" i="13"/>
  <c r="F402" i="13" s="1"/>
  <c r="G1098" i="13"/>
  <c r="H495" i="13"/>
  <c r="I495" i="13"/>
  <c r="I1046" i="20"/>
  <c r="E662" i="13"/>
  <c r="F662" i="13" s="1"/>
  <c r="H324" i="13"/>
  <c r="I324" i="13"/>
  <c r="E778" i="20"/>
  <c r="F778" i="20" s="1"/>
  <c r="I155" i="20"/>
  <c r="E1184" i="13"/>
  <c r="F1184" i="13" s="1"/>
  <c r="E926" i="13"/>
  <c r="F926" i="13" s="1"/>
  <c r="G401" i="13"/>
  <c r="H494" i="13"/>
  <c r="I494" i="13"/>
  <c r="H1221" i="20"/>
  <c r="H1047" i="20"/>
  <c r="E325" i="13"/>
  <c r="F325" i="13" s="1"/>
  <c r="E156" i="20"/>
  <c r="F156" i="20" s="1"/>
  <c r="I1137" i="20"/>
  <c r="E1222" i="20"/>
  <c r="F1222" i="20" s="1"/>
  <c r="E515" i="20"/>
  <c r="F515" i="20" s="1"/>
  <c r="G925" i="13"/>
  <c r="H514" i="20"/>
  <c r="J834" i="13"/>
  <c r="J1269" i="13"/>
  <c r="G1221" i="20"/>
  <c r="G1047" i="20"/>
  <c r="G1183" i="13"/>
  <c r="I777" i="20"/>
  <c r="E336" i="20"/>
  <c r="F336" i="20" s="1"/>
  <c r="H585" i="13"/>
  <c r="I585" i="13"/>
  <c r="E1138" i="20"/>
  <c r="F1138" i="20" s="1"/>
  <c r="D1139" i="20" s="1"/>
  <c r="H661" i="13" l="1"/>
  <c r="F1367" i="13"/>
  <c r="G1367" i="13" s="1"/>
  <c r="I1367" i="13" s="1"/>
  <c r="E1368" i="13"/>
  <c r="H1367" i="13"/>
  <c r="H1368" i="13" s="1"/>
  <c r="J1366" i="13"/>
  <c r="D326" i="13"/>
  <c r="G325" i="13"/>
  <c r="I325" i="13" s="1"/>
  <c r="D587" i="13"/>
  <c r="E587" i="13" s="1"/>
  <c r="F587" i="13" s="1"/>
  <c r="G586" i="13"/>
  <c r="H586" i="13" s="1"/>
  <c r="I514" i="20"/>
  <c r="H424" i="20"/>
  <c r="I244" i="20"/>
  <c r="J324" i="13"/>
  <c r="I1047" i="20"/>
  <c r="J494" i="13"/>
  <c r="J660" i="13"/>
  <c r="I867" i="20"/>
  <c r="D927" i="13"/>
  <c r="G926" i="13"/>
  <c r="D403" i="13"/>
  <c r="G402" i="13"/>
  <c r="D497" i="13"/>
  <c r="G496" i="13"/>
  <c r="D1049" i="20"/>
  <c r="H1048" i="20"/>
  <c r="G1048" i="20"/>
  <c r="D779" i="20"/>
  <c r="G778" i="20"/>
  <c r="H778" i="20"/>
  <c r="D337" i="20"/>
  <c r="G336" i="20"/>
  <c r="H336" i="20"/>
  <c r="D157" i="20"/>
  <c r="G156" i="20"/>
  <c r="H156" i="20"/>
  <c r="D1223" i="20"/>
  <c r="H1222" i="20"/>
  <c r="G1222" i="20"/>
  <c r="D663" i="13"/>
  <c r="G662" i="13"/>
  <c r="D1185" i="13"/>
  <c r="G1184" i="13"/>
  <c r="D516" i="20"/>
  <c r="G515" i="20"/>
  <c r="H515" i="20"/>
  <c r="E836" i="13"/>
  <c r="F836" i="13" s="1"/>
  <c r="E690" i="20"/>
  <c r="F690" i="20" s="1"/>
  <c r="H1183" i="13"/>
  <c r="I1183" i="13"/>
  <c r="E326" i="13"/>
  <c r="F326" i="13" s="1"/>
  <c r="D327" i="13" s="1"/>
  <c r="I1221" i="20"/>
  <c r="H1098" i="13"/>
  <c r="I1098" i="13"/>
  <c r="G424" i="20"/>
  <c r="H1012" i="13"/>
  <c r="I1012" i="13"/>
  <c r="E153" i="13"/>
  <c r="F153" i="13" s="1"/>
  <c r="D154" i="13" s="1"/>
  <c r="H232" i="13"/>
  <c r="I232" i="13"/>
  <c r="H1270" i="13"/>
  <c r="I1270" i="13"/>
  <c r="E599" i="20"/>
  <c r="F599" i="20" s="1"/>
  <c r="E1139" i="20"/>
  <c r="F1139" i="20" s="1"/>
  <c r="E1100" i="13"/>
  <c r="F1100" i="13" s="1"/>
  <c r="D1101" i="13" s="1"/>
  <c r="H152" i="13"/>
  <c r="I152" i="13"/>
  <c r="E750" i="13"/>
  <c r="F750" i="13" s="1"/>
  <c r="E245" i="20"/>
  <c r="F245" i="20" s="1"/>
  <c r="H1138" i="20"/>
  <c r="J585" i="13"/>
  <c r="J661" i="13"/>
  <c r="G1099" i="13"/>
  <c r="E1013" i="13"/>
  <c r="F1013" i="13" s="1"/>
  <c r="D1014" i="13" s="1"/>
  <c r="I689" i="20"/>
  <c r="E233" i="13"/>
  <c r="F233" i="13" s="1"/>
  <c r="D234" i="13" s="1"/>
  <c r="E1271" i="13"/>
  <c r="F1271" i="13" s="1"/>
  <c r="D1272" i="13" s="1"/>
  <c r="I955" i="20"/>
  <c r="G1138" i="20"/>
  <c r="H925" i="13"/>
  <c r="I925" i="13"/>
  <c r="H401" i="13"/>
  <c r="I401" i="13"/>
  <c r="J495" i="13"/>
  <c r="E425" i="20"/>
  <c r="F425" i="20" s="1"/>
  <c r="D426" i="20" s="1"/>
  <c r="H835" i="13"/>
  <c r="I835" i="13"/>
  <c r="E868" i="20"/>
  <c r="F868" i="20" s="1"/>
  <c r="H749" i="13"/>
  <c r="I749" i="13"/>
  <c r="I598" i="20"/>
  <c r="E956" i="20"/>
  <c r="F956" i="20" s="1"/>
  <c r="H325" i="13" l="1"/>
  <c r="J1367" i="13"/>
  <c r="J1368" i="13" s="1"/>
  <c r="I1368" i="13"/>
  <c r="I586" i="13"/>
  <c r="J586" i="13" s="1"/>
  <c r="I424" i="20"/>
  <c r="D246" i="20"/>
  <c r="E246" i="20" s="1"/>
  <c r="F246" i="20" s="1"/>
  <c r="G245" i="20"/>
  <c r="H245" i="20"/>
  <c r="D588" i="13"/>
  <c r="E588" i="13" s="1"/>
  <c r="F588" i="13" s="1"/>
  <c r="G587" i="13"/>
  <c r="H587" i="13" s="1"/>
  <c r="D837" i="13"/>
  <c r="E837" i="13" s="1"/>
  <c r="F837" i="13" s="1"/>
  <c r="G836" i="13"/>
  <c r="H836" i="13" s="1"/>
  <c r="G153" i="13"/>
  <c r="H153" i="13" s="1"/>
  <c r="J401" i="13"/>
  <c r="J925" i="13"/>
  <c r="J232" i="13"/>
  <c r="I515" i="20"/>
  <c r="I1222" i="20"/>
  <c r="I778" i="20"/>
  <c r="I1048" i="20"/>
  <c r="J835" i="13"/>
  <c r="J1098" i="13"/>
  <c r="I336" i="20"/>
  <c r="D691" i="20"/>
  <c r="H690" i="20"/>
  <c r="G690" i="20"/>
  <c r="D751" i="13"/>
  <c r="G750" i="13"/>
  <c r="D869" i="20"/>
  <c r="H868" i="20"/>
  <c r="G868" i="20"/>
  <c r="D1140" i="20"/>
  <c r="H1139" i="20"/>
  <c r="G1139" i="20"/>
  <c r="D957" i="20"/>
  <c r="G956" i="20"/>
  <c r="H956" i="20"/>
  <c r="D600" i="20"/>
  <c r="H599" i="20"/>
  <c r="G599" i="20"/>
  <c r="E426" i="20"/>
  <c r="F426" i="20" s="1"/>
  <c r="E1014" i="13"/>
  <c r="F1014" i="13" s="1"/>
  <c r="D1015" i="13" s="1"/>
  <c r="E327" i="13"/>
  <c r="F327" i="13" s="1"/>
  <c r="E157" i="20"/>
  <c r="F157" i="20" s="1"/>
  <c r="H662" i="13"/>
  <c r="I662" i="13"/>
  <c r="E1223" i="20"/>
  <c r="F1223" i="20" s="1"/>
  <c r="D1224" i="20" s="1"/>
  <c r="E1049" i="20"/>
  <c r="F1049" i="20" s="1"/>
  <c r="D1050" i="20" s="1"/>
  <c r="E403" i="13"/>
  <c r="F403" i="13" s="1"/>
  <c r="E234" i="13"/>
  <c r="F234" i="13" s="1"/>
  <c r="E1101" i="13"/>
  <c r="F1101" i="13" s="1"/>
  <c r="I836" i="13"/>
  <c r="E1185" i="13"/>
  <c r="F1185" i="13" s="1"/>
  <c r="H402" i="13"/>
  <c r="I402" i="13"/>
  <c r="J749" i="13"/>
  <c r="H425" i="20"/>
  <c r="G1271" i="13"/>
  <c r="G233" i="13"/>
  <c r="G1013" i="13"/>
  <c r="I1138" i="20"/>
  <c r="J152" i="13"/>
  <c r="G1100" i="13"/>
  <c r="J1012" i="13"/>
  <c r="J1183" i="13"/>
  <c r="E516" i="20"/>
  <c r="F516" i="20" s="1"/>
  <c r="E663" i="13"/>
  <c r="F663" i="13" s="1"/>
  <c r="I156" i="20"/>
  <c r="E779" i="20"/>
  <c r="F779" i="20" s="1"/>
  <c r="H496" i="13"/>
  <c r="I496" i="13"/>
  <c r="H926" i="13"/>
  <c r="I926" i="13"/>
  <c r="G425" i="20"/>
  <c r="J325" i="13"/>
  <c r="E1272" i="13"/>
  <c r="F1272" i="13" s="1"/>
  <c r="H1099" i="13"/>
  <c r="I1099" i="13"/>
  <c r="J1270" i="13"/>
  <c r="E154" i="13"/>
  <c r="F154" i="13" s="1"/>
  <c r="D155" i="13" s="1"/>
  <c r="G326" i="13"/>
  <c r="H1184" i="13"/>
  <c r="I1184" i="13"/>
  <c r="E337" i="20"/>
  <c r="F337" i="20" s="1"/>
  <c r="E497" i="13"/>
  <c r="F497" i="13" s="1"/>
  <c r="E927" i="13"/>
  <c r="F927" i="13" s="1"/>
  <c r="I587" i="13" l="1"/>
  <c r="I245" i="20"/>
  <c r="D517" i="20"/>
  <c r="H516" i="20"/>
  <c r="I153" i="13"/>
  <c r="J153" i="13" s="1"/>
  <c r="I599" i="20"/>
  <c r="J926" i="13"/>
  <c r="J836" i="13"/>
  <c r="I956" i="20"/>
  <c r="J662" i="13"/>
  <c r="D664" i="13"/>
  <c r="G663" i="13"/>
  <c r="D1186" i="13"/>
  <c r="G1185" i="13"/>
  <c r="D247" i="20"/>
  <c r="G246" i="20"/>
  <c r="H246" i="20"/>
  <c r="D589" i="13"/>
  <c r="G588" i="13"/>
  <c r="D928" i="13"/>
  <c r="G927" i="13"/>
  <c r="D498" i="13"/>
  <c r="G497" i="13"/>
  <c r="D780" i="20"/>
  <c r="H779" i="20"/>
  <c r="G779" i="20"/>
  <c r="D1102" i="13"/>
  <c r="G1101" i="13"/>
  <c r="D158" i="20"/>
  <c r="G157" i="20"/>
  <c r="H157" i="20"/>
  <c r="D427" i="20"/>
  <c r="H426" i="20"/>
  <c r="G426" i="20"/>
  <c r="D404" i="13"/>
  <c r="G403" i="13"/>
  <c r="D338" i="20"/>
  <c r="H337" i="20"/>
  <c r="G337" i="20"/>
  <c r="D1273" i="13"/>
  <c r="G1272" i="13"/>
  <c r="D235" i="13"/>
  <c r="G234" i="13"/>
  <c r="D838" i="13"/>
  <c r="G837" i="13"/>
  <c r="D328" i="13"/>
  <c r="G327" i="13"/>
  <c r="E1050" i="20"/>
  <c r="F1050" i="20" s="1"/>
  <c r="D1051" i="20" s="1"/>
  <c r="E957" i="20"/>
  <c r="F957" i="20" s="1"/>
  <c r="D958" i="20" s="1"/>
  <c r="E751" i="13"/>
  <c r="F751" i="13" s="1"/>
  <c r="H326" i="13"/>
  <c r="I326" i="13"/>
  <c r="J1099" i="13"/>
  <c r="G516" i="20"/>
  <c r="H1013" i="13"/>
  <c r="I1013" i="13"/>
  <c r="I425" i="20"/>
  <c r="H1049" i="20"/>
  <c r="H1223" i="20"/>
  <c r="E600" i="20"/>
  <c r="F600" i="20" s="1"/>
  <c r="D601" i="20" s="1"/>
  <c r="I868" i="20"/>
  <c r="E155" i="13"/>
  <c r="F155" i="13" s="1"/>
  <c r="E1224" i="20"/>
  <c r="F1224" i="20" s="1"/>
  <c r="D1225" i="20" s="1"/>
  <c r="E1015" i="13"/>
  <c r="F1015" i="13" s="1"/>
  <c r="D1016" i="13" s="1"/>
  <c r="J587" i="13"/>
  <c r="G154" i="13"/>
  <c r="J496" i="13"/>
  <c r="H1100" i="13"/>
  <c r="I1100" i="13"/>
  <c r="H233" i="13"/>
  <c r="I233" i="13"/>
  <c r="G1049" i="20"/>
  <c r="G1223" i="20"/>
  <c r="G1014" i="13"/>
  <c r="I1139" i="20"/>
  <c r="E869" i="20"/>
  <c r="F869" i="20" s="1"/>
  <c r="I690" i="20"/>
  <c r="J1184" i="13"/>
  <c r="E517" i="20"/>
  <c r="F517" i="20" s="1"/>
  <c r="H1271" i="13"/>
  <c r="I1271" i="13"/>
  <c r="J402" i="13"/>
  <c r="E1140" i="20"/>
  <c r="F1140" i="20" s="1"/>
  <c r="D1141" i="20" s="1"/>
  <c r="H750" i="13"/>
  <c r="I750" i="13"/>
  <c r="E691" i="20"/>
  <c r="F691" i="20" s="1"/>
  <c r="I516" i="20" l="1"/>
  <c r="D870" i="20"/>
  <c r="E870" i="20" s="1"/>
  <c r="F870" i="20" s="1"/>
  <c r="G869" i="20"/>
  <c r="J233" i="13"/>
  <c r="J750" i="13"/>
  <c r="I337" i="20"/>
  <c r="I246" i="20"/>
  <c r="J1013" i="13"/>
  <c r="J326" i="13"/>
  <c r="D752" i="13"/>
  <c r="G751" i="13"/>
  <c r="D156" i="13"/>
  <c r="G155" i="13"/>
  <c r="D692" i="20"/>
  <c r="H691" i="20"/>
  <c r="G691" i="20"/>
  <c r="D518" i="20"/>
  <c r="G517" i="20"/>
  <c r="H517" i="20"/>
  <c r="H1014" i="13"/>
  <c r="I1014" i="13"/>
  <c r="E1225" i="20"/>
  <c r="F1225" i="20" s="1"/>
  <c r="E1051" i="20"/>
  <c r="F1051" i="20" s="1"/>
  <c r="E328" i="13"/>
  <c r="F328" i="13" s="1"/>
  <c r="E235" i="13"/>
  <c r="F235" i="13" s="1"/>
  <c r="D236" i="13" s="1"/>
  <c r="E498" i="13"/>
  <c r="F498" i="13" s="1"/>
  <c r="E589" i="13"/>
  <c r="F589" i="13" s="1"/>
  <c r="D590" i="13" s="1"/>
  <c r="H837" i="13"/>
  <c r="I837" i="13"/>
  <c r="H1272" i="13"/>
  <c r="I1272" i="13"/>
  <c r="E338" i="20"/>
  <c r="F338" i="20" s="1"/>
  <c r="I426" i="20"/>
  <c r="E158" i="20"/>
  <c r="F158" i="20" s="1"/>
  <c r="I779" i="20"/>
  <c r="H927" i="13"/>
  <c r="I927" i="13"/>
  <c r="E1186" i="13"/>
  <c r="F1186" i="13" s="1"/>
  <c r="D1187" i="13" s="1"/>
  <c r="E1141" i="20"/>
  <c r="E1142" i="20" s="1"/>
  <c r="E1016" i="13"/>
  <c r="F1016" i="13" s="1"/>
  <c r="D1017" i="13" s="1"/>
  <c r="E601" i="20"/>
  <c r="F601" i="20" s="1"/>
  <c r="D602" i="20" s="1"/>
  <c r="E958" i="20"/>
  <c r="F958" i="20" s="1"/>
  <c r="H1185" i="13"/>
  <c r="I1185" i="13"/>
  <c r="H154" i="13"/>
  <c r="I154" i="13"/>
  <c r="H1140" i="20"/>
  <c r="J1100" i="13"/>
  <c r="H1224" i="20"/>
  <c r="H600" i="20"/>
  <c r="I1223" i="20"/>
  <c r="H957" i="20"/>
  <c r="H1050" i="20"/>
  <c r="E838" i="13"/>
  <c r="F838" i="13" s="1"/>
  <c r="E1273" i="13"/>
  <c r="F1273" i="13" s="1"/>
  <c r="H403" i="13"/>
  <c r="I403" i="13"/>
  <c r="E427" i="20"/>
  <c r="F427" i="20" s="1"/>
  <c r="H1101" i="13"/>
  <c r="I1101" i="13"/>
  <c r="E780" i="20"/>
  <c r="F780" i="20" s="1"/>
  <c r="D781" i="20" s="1"/>
  <c r="E928" i="13"/>
  <c r="F928" i="13" s="1"/>
  <c r="H663" i="13"/>
  <c r="I663" i="13"/>
  <c r="G1140" i="20"/>
  <c r="J1271" i="13"/>
  <c r="H869" i="20"/>
  <c r="G1015" i="13"/>
  <c r="G1224" i="20"/>
  <c r="G600" i="20"/>
  <c r="I1049" i="20"/>
  <c r="G957" i="20"/>
  <c r="G1050" i="20"/>
  <c r="H327" i="13"/>
  <c r="I327" i="13"/>
  <c r="H234" i="13"/>
  <c r="I234" i="13"/>
  <c r="E404" i="13"/>
  <c r="F404" i="13" s="1"/>
  <c r="I157" i="20"/>
  <c r="E1102" i="13"/>
  <c r="F1102" i="13" s="1"/>
  <c r="D1103" i="13" s="1"/>
  <c r="H497" i="13"/>
  <c r="I497" i="13"/>
  <c r="H588" i="13"/>
  <c r="I588" i="13"/>
  <c r="E247" i="20"/>
  <c r="F247" i="20" s="1"/>
  <c r="E664" i="13"/>
  <c r="F664" i="13" s="1"/>
  <c r="D665" i="13" s="1"/>
  <c r="D159" i="20" l="1"/>
  <c r="G158" i="20"/>
  <c r="I869" i="20"/>
  <c r="D329" i="13"/>
  <c r="E329" i="13" s="1"/>
  <c r="F329" i="13" s="1"/>
  <c r="G328" i="13"/>
  <c r="D1274" i="13"/>
  <c r="G1273" i="13"/>
  <c r="H1273" i="13" s="1"/>
  <c r="D839" i="13"/>
  <c r="E839" i="13" s="1"/>
  <c r="F839" i="13" s="1"/>
  <c r="G838" i="13"/>
  <c r="G664" i="13"/>
  <c r="I664" i="13" s="1"/>
  <c r="H158" i="20"/>
  <c r="J327" i="13"/>
  <c r="J1101" i="13"/>
  <c r="J1185" i="13"/>
  <c r="J927" i="13"/>
  <c r="J588" i="13"/>
  <c r="J1014" i="13"/>
  <c r="J663" i="13"/>
  <c r="J1272" i="13"/>
  <c r="D339" i="20"/>
  <c r="G338" i="20"/>
  <c r="H338" i="20"/>
  <c r="D428" i="20"/>
  <c r="H427" i="20"/>
  <c r="G427" i="20"/>
  <c r="D499" i="13"/>
  <c r="G498" i="13"/>
  <c r="D1052" i="20"/>
  <c r="H1051" i="20"/>
  <c r="G1051" i="20"/>
  <c r="D959" i="20"/>
  <c r="G958" i="20"/>
  <c r="H958" i="20"/>
  <c r="D871" i="20"/>
  <c r="G870" i="20"/>
  <c r="H870" i="20"/>
  <c r="D248" i="20"/>
  <c r="H247" i="20"/>
  <c r="G247" i="20"/>
  <c r="D405" i="13"/>
  <c r="G404" i="13"/>
  <c r="D929" i="13"/>
  <c r="G928" i="13"/>
  <c r="D1226" i="20"/>
  <c r="H1225" i="20"/>
  <c r="G1225" i="20"/>
  <c r="E518" i="20"/>
  <c r="E519" i="20" s="1"/>
  <c r="E665" i="13"/>
  <c r="F665" i="13" s="1"/>
  <c r="H780" i="20"/>
  <c r="E1274" i="13"/>
  <c r="F1274" i="13" s="1"/>
  <c r="I1140" i="20"/>
  <c r="G1186" i="13"/>
  <c r="E159" i="20"/>
  <c r="F159" i="20" s="1"/>
  <c r="D160" i="20" s="1"/>
  <c r="E156" i="13"/>
  <c r="F156" i="13" s="1"/>
  <c r="H838" i="13"/>
  <c r="I838" i="13"/>
  <c r="I957" i="20"/>
  <c r="E602" i="20"/>
  <c r="F602" i="20" s="1"/>
  <c r="E1017" i="13"/>
  <c r="F1017" i="13" s="1"/>
  <c r="E590" i="13"/>
  <c r="F590" i="13" s="1"/>
  <c r="E236" i="13"/>
  <c r="F236" i="13" s="1"/>
  <c r="H155" i="13"/>
  <c r="I155" i="13"/>
  <c r="J497" i="13"/>
  <c r="G1102" i="13"/>
  <c r="G780" i="20"/>
  <c r="I600" i="20"/>
  <c r="J154" i="13"/>
  <c r="H601" i="20"/>
  <c r="J837" i="13"/>
  <c r="G589" i="13"/>
  <c r="I517" i="20"/>
  <c r="I691" i="20"/>
  <c r="H751" i="13"/>
  <c r="I751" i="13"/>
  <c r="E1103" i="13"/>
  <c r="F1103" i="13" s="1"/>
  <c r="D1104" i="13" s="1"/>
  <c r="H1015" i="13"/>
  <c r="I1015" i="13"/>
  <c r="E781" i="20"/>
  <c r="F781" i="20" s="1"/>
  <c r="H664" i="13"/>
  <c r="J234" i="13"/>
  <c r="J403" i="13"/>
  <c r="I1050" i="20"/>
  <c r="I1224" i="20"/>
  <c r="G601" i="20"/>
  <c r="G1016" i="13"/>
  <c r="F1141" i="20"/>
  <c r="E1187" i="13"/>
  <c r="F1187" i="13" s="1"/>
  <c r="G235" i="13"/>
  <c r="H328" i="13"/>
  <c r="I328" i="13"/>
  <c r="E692" i="20"/>
  <c r="F692" i="20" s="1"/>
  <c r="E752" i="13"/>
  <c r="F752" i="13" s="1"/>
  <c r="I158" i="20" l="1"/>
  <c r="F518" i="20"/>
  <c r="G518" i="20" s="1"/>
  <c r="G519" i="20" s="1"/>
  <c r="D693" i="20"/>
  <c r="E693" i="20" s="1"/>
  <c r="F693" i="20" s="1"/>
  <c r="D694" i="20" s="1"/>
  <c r="G692" i="20"/>
  <c r="I1273" i="13"/>
  <c r="J1273" i="13" s="1"/>
  <c r="I958" i="20"/>
  <c r="J1015" i="13"/>
  <c r="J751" i="13"/>
  <c r="J155" i="13"/>
  <c r="J838" i="13"/>
  <c r="I338" i="20"/>
  <c r="D1275" i="13"/>
  <c r="G1274" i="13"/>
  <c r="D157" i="13"/>
  <c r="G156" i="13"/>
  <c r="D237" i="13"/>
  <c r="G236" i="13"/>
  <c r="D330" i="13"/>
  <c r="G329" i="13"/>
  <c r="D666" i="13"/>
  <c r="G665" i="13"/>
  <c r="D1018" i="13"/>
  <c r="G1017" i="13"/>
  <c r="D603" i="20"/>
  <c r="G602" i="20"/>
  <c r="H602" i="20"/>
  <c r="D753" i="13"/>
  <c r="G752" i="13"/>
  <c r="D1188" i="13"/>
  <c r="G1187" i="13"/>
  <c r="D782" i="20"/>
  <c r="H781" i="20"/>
  <c r="G781" i="20"/>
  <c r="D591" i="13"/>
  <c r="G590" i="13"/>
  <c r="D840" i="13"/>
  <c r="G839" i="13"/>
  <c r="H235" i="13"/>
  <c r="I235" i="13"/>
  <c r="E160" i="20"/>
  <c r="F160" i="20" s="1"/>
  <c r="E959" i="20"/>
  <c r="F959" i="20" s="1"/>
  <c r="E428" i="20"/>
  <c r="F428" i="20" s="1"/>
  <c r="G1141" i="20"/>
  <c r="G1142" i="20" s="1"/>
  <c r="H1141" i="20"/>
  <c r="H589" i="13"/>
  <c r="I589" i="13"/>
  <c r="H159" i="20"/>
  <c r="H1186" i="13"/>
  <c r="I1186" i="13"/>
  <c r="I780" i="20"/>
  <c r="H518" i="20"/>
  <c r="E929" i="13"/>
  <c r="F929" i="13" s="1"/>
  <c r="I247" i="20"/>
  <c r="E871" i="20"/>
  <c r="F871" i="20" s="1"/>
  <c r="E499" i="13"/>
  <c r="F499" i="13" s="1"/>
  <c r="E1104" i="13"/>
  <c r="F1104" i="13" s="1"/>
  <c r="D1105" i="13" s="1"/>
  <c r="H928" i="13"/>
  <c r="I928" i="13"/>
  <c r="H498" i="13"/>
  <c r="I498" i="13"/>
  <c r="H692" i="20"/>
  <c r="J328" i="13"/>
  <c r="H1016" i="13"/>
  <c r="I1016" i="13"/>
  <c r="J664" i="13"/>
  <c r="G159" i="20"/>
  <c r="I1225" i="20"/>
  <c r="H404" i="13"/>
  <c r="I404" i="13"/>
  <c r="E248" i="20"/>
  <c r="F248" i="20" s="1"/>
  <c r="I1051" i="20"/>
  <c r="G1103" i="13"/>
  <c r="I601" i="20"/>
  <c r="H1102" i="13"/>
  <c r="I1102" i="13"/>
  <c r="E1226" i="20"/>
  <c r="F1226" i="20" s="1"/>
  <c r="D1227" i="20" s="1"/>
  <c r="E405" i="13"/>
  <c r="F405" i="13" s="1"/>
  <c r="D406" i="13" s="1"/>
  <c r="I870" i="20"/>
  <c r="E1052" i="20"/>
  <c r="E1053" i="20" s="1"/>
  <c r="I427" i="20"/>
  <c r="E339" i="20"/>
  <c r="F339" i="20" s="1"/>
  <c r="D340" i="20" s="1"/>
  <c r="I692" i="20" l="1"/>
  <c r="D960" i="20"/>
  <c r="H959" i="20"/>
  <c r="D429" i="20"/>
  <c r="E429" i="20" s="1"/>
  <c r="E430" i="20" s="1"/>
  <c r="H428" i="20"/>
  <c r="G1104" i="13"/>
  <c r="J235" i="13"/>
  <c r="J589" i="13"/>
  <c r="J1102" i="13"/>
  <c r="D930" i="13"/>
  <c r="G929" i="13"/>
  <c r="D249" i="20"/>
  <c r="H248" i="20"/>
  <c r="G248" i="20"/>
  <c r="D161" i="20"/>
  <c r="G160" i="20"/>
  <c r="H160" i="20"/>
  <c r="D500" i="13"/>
  <c r="G499" i="13"/>
  <c r="D872" i="20"/>
  <c r="H871" i="20"/>
  <c r="G871" i="20"/>
  <c r="E406" i="13"/>
  <c r="F406" i="13" s="1"/>
  <c r="D407" i="13" s="1"/>
  <c r="E694" i="20"/>
  <c r="F694" i="20" s="1"/>
  <c r="H590" i="13"/>
  <c r="I590" i="13"/>
  <c r="E782" i="20"/>
  <c r="F782" i="20" s="1"/>
  <c r="E753" i="13"/>
  <c r="F753" i="13" s="1"/>
  <c r="H1017" i="13"/>
  <c r="I1017" i="13"/>
  <c r="H329" i="13"/>
  <c r="I329" i="13"/>
  <c r="H156" i="13"/>
  <c r="I156" i="13"/>
  <c r="H339" i="20"/>
  <c r="F1052" i="20"/>
  <c r="H1103" i="13"/>
  <c r="I1103" i="13"/>
  <c r="J1016" i="13"/>
  <c r="J498" i="13"/>
  <c r="J1186" i="13"/>
  <c r="G428" i="20"/>
  <c r="G959" i="20"/>
  <c r="I959" i="20" s="1"/>
  <c r="E591" i="13"/>
  <c r="E592" i="13" s="1"/>
  <c r="H1187" i="13"/>
  <c r="I1187" i="13"/>
  <c r="I602" i="20"/>
  <c r="E1018" i="13"/>
  <c r="F1018" i="13" s="1"/>
  <c r="D1019" i="13" s="1"/>
  <c r="E330" i="13"/>
  <c r="F330" i="13" s="1"/>
  <c r="E157" i="13"/>
  <c r="F157" i="13" s="1"/>
  <c r="E340" i="20"/>
  <c r="E341" i="20" s="1"/>
  <c r="E1227" i="20"/>
  <c r="F1227" i="20" s="1"/>
  <c r="H1226" i="20"/>
  <c r="H1104" i="13"/>
  <c r="I1104" i="13"/>
  <c r="I1141" i="20"/>
  <c r="I1142" i="20" s="1"/>
  <c r="H1142" i="20"/>
  <c r="E960" i="20"/>
  <c r="F960" i="20" s="1"/>
  <c r="H693" i="20"/>
  <c r="H839" i="13"/>
  <c r="I839" i="13"/>
  <c r="E1188" i="13"/>
  <c r="F1188" i="13" s="1"/>
  <c r="H665" i="13"/>
  <c r="I665" i="13"/>
  <c r="H236" i="13"/>
  <c r="I236" i="13"/>
  <c r="H1274" i="13"/>
  <c r="I1274" i="13"/>
  <c r="G339" i="20"/>
  <c r="G405" i="13"/>
  <c r="G1226" i="20"/>
  <c r="J404" i="13"/>
  <c r="J928" i="13"/>
  <c r="E1105" i="13"/>
  <c r="F1105" i="13" s="1"/>
  <c r="I518" i="20"/>
  <c r="I519" i="20" s="1"/>
  <c r="H519" i="20"/>
  <c r="I159" i="20"/>
  <c r="G693" i="20"/>
  <c r="E840" i="13"/>
  <c r="F840" i="13" s="1"/>
  <c r="I781" i="20"/>
  <c r="H752" i="13"/>
  <c r="I752" i="13"/>
  <c r="E603" i="20"/>
  <c r="F603" i="20" s="1"/>
  <c r="E666" i="13"/>
  <c r="F666" i="13" s="1"/>
  <c r="D667" i="13" s="1"/>
  <c r="E237" i="13"/>
  <c r="F237" i="13" s="1"/>
  <c r="E1275" i="13"/>
  <c r="F1275" i="13" s="1"/>
  <c r="D1228" i="20" l="1"/>
  <c r="H1227" i="20"/>
  <c r="G1227" i="20"/>
  <c r="D604" i="20"/>
  <c r="H603" i="20"/>
  <c r="D331" i="13"/>
  <c r="G330" i="13"/>
  <c r="H330" i="13" s="1"/>
  <c r="I428" i="20"/>
  <c r="D695" i="20"/>
  <c r="G694" i="20"/>
  <c r="G603" i="20"/>
  <c r="F591" i="13"/>
  <c r="G591" i="13" s="1"/>
  <c r="I591" i="13" s="1"/>
  <c r="J752" i="13"/>
  <c r="J236" i="13"/>
  <c r="J1104" i="13"/>
  <c r="J1103" i="13"/>
  <c r="J156" i="13"/>
  <c r="J1017" i="13"/>
  <c r="J590" i="13"/>
  <c r="I160" i="20"/>
  <c r="I871" i="20"/>
  <c r="I248" i="20"/>
  <c r="J329" i="13"/>
  <c r="J839" i="13"/>
  <c r="J1187" i="13"/>
  <c r="D1106" i="13"/>
  <c r="G1105" i="13"/>
  <c r="D1189" i="13"/>
  <c r="G1188" i="13"/>
  <c r="D754" i="13"/>
  <c r="G753" i="13"/>
  <c r="D1276" i="13"/>
  <c r="G1275" i="13"/>
  <c r="D961" i="20"/>
  <c r="H960" i="20"/>
  <c r="G960" i="20"/>
  <c r="D158" i="13"/>
  <c r="G157" i="13"/>
  <c r="D238" i="13"/>
  <c r="G237" i="13"/>
  <c r="D841" i="13"/>
  <c r="G840" i="13"/>
  <c r="D783" i="20"/>
  <c r="G782" i="20"/>
  <c r="H782" i="20"/>
  <c r="H405" i="13"/>
  <c r="I405" i="13"/>
  <c r="I330" i="13"/>
  <c r="E1019" i="13"/>
  <c r="F1019" i="13" s="1"/>
  <c r="E407" i="13"/>
  <c r="F407" i="13" s="1"/>
  <c r="E331" i="13"/>
  <c r="F331" i="13" s="1"/>
  <c r="E695" i="20"/>
  <c r="F695" i="20" s="1"/>
  <c r="D696" i="20" s="1"/>
  <c r="G406" i="13"/>
  <c r="E872" i="20"/>
  <c r="F872" i="20" s="1"/>
  <c r="D873" i="20" s="1"/>
  <c r="E249" i="20"/>
  <c r="F249" i="20" s="1"/>
  <c r="E667" i="13"/>
  <c r="F667" i="13" s="1"/>
  <c r="G666" i="13"/>
  <c r="I693" i="20"/>
  <c r="F429" i="20"/>
  <c r="F340" i="20"/>
  <c r="G1052" i="20"/>
  <c r="G1053" i="20" s="1"/>
  <c r="H1052" i="20"/>
  <c r="H499" i="13"/>
  <c r="I499" i="13"/>
  <c r="E161" i="20"/>
  <c r="E162" i="20" s="1"/>
  <c r="H929" i="13"/>
  <c r="I929" i="13"/>
  <c r="E604" i="20"/>
  <c r="F604" i="20" s="1"/>
  <c r="J1274" i="13"/>
  <c r="J665" i="13"/>
  <c r="I1226" i="20"/>
  <c r="E1228" i="20"/>
  <c r="F1228" i="20" s="1"/>
  <c r="G1018" i="13"/>
  <c r="I339" i="20"/>
  <c r="H694" i="20"/>
  <c r="E500" i="13"/>
  <c r="F500" i="13" s="1"/>
  <c r="E930" i="13"/>
  <c r="F930" i="13" s="1"/>
  <c r="D931" i="13" s="1"/>
  <c r="I694" i="20" l="1"/>
  <c r="I603" i="20"/>
  <c r="I1227" i="20"/>
  <c r="H591" i="13"/>
  <c r="H592" i="13" s="1"/>
  <c r="D250" i="20"/>
  <c r="H249" i="20"/>
  <c r="H872" i="20"/>
  <c r="J405" i="13"/>
  <c r="J499" i="13"/>
  <c r="I960" i="20"/>
  <c r="D408" i="13"/>
  <c r="G407" i="13"/>
  <c r="D501" i="13"/>
  <c r="G500" i="13"/>
  <c r="D668" i="13"/>
  <c r="G667" i="13"/>
  <c r="D1229" i="20"/>
  <c r="G1228" i="20"/>
  <c r="H1228" i="20"/>
  <c r="D605" i="20"/>
  <c r="H604" i="20"/>
  <c r="G604" i="20"/>
  <c r="D1020" i="13"/>
  <c r="G1019" i="13"/>
  <c r="D332" i="13"/>
  <c r="G331" i="13"/>
  <c r="E931" i="13"/>
  <c r="F931" i="13" s="1"/>
  <c r="H666" i="13"/>
  <c r="I666" i="13"/>
  <c r="H753" i="13"/>
  <c r="I753" i="13"/>
  <c r="G340" i="20"/>
  <c r="G341" i="20" s="1"/>
  <c r="H340" i="20"/>
  <c r="G249" i="20"/>
  <c r="I249" i="20" s="1"/>
  <c r="G872" i="20"/>
  <c r="H695" i="20"/>
  <c r="H840" i="13"/>
  <c r="I840" i="13"/>
  <c r="H157" i="13"/>
  <c r="I157" i="13"/>
  <c r="E961" i="20"/>
  <c r="F961" i="20" s="1"/>
  <c r="D962" i="20" s="1"/>
  <c r="E754" i="13"/>
  <c r="F754" i="13" s="1"/>
  <c r="D755" i="13" s="1"/>
  <c r="E1189" i="13"/>
  <c r="F1189" i="13" s="1"/>
  <c r="H406" i="13"/>
  <c r="I406" i="13"/>
  <c r="E696" i="20"/>
  <c r="E697" i="20" s="1"/>
  <c r="E783" i="20"/>
  <c r="F783" i="20" s="1"/>
  <c r="D784" i="20" s="1"/>
  <c r="E238" i="13"/>
  <c r="F238" i="13" s="1"/>
  <c r="H1188" i="13"/>
  <c r="I1188" i="13"/>
  <c r="H429" i="20"/>
  <c r="G429" i="20"/>
  <c r="G430" i="20" s="1"/>
  <c r="G695" i="20"/>
  <c r="J330" i="13"/>
  <c r="I782" i="20"/>
  <c r="E841" i="13"/>
  <c r="F841" i="13" s="1"/>
  <c r="D842" i="13" s="1"/>
  <c r="E158" i="13"/>
  <c r="F158" i="13" s="1"/>
  <c r="H1275" i="13"/>
  <c r="I1275" i="13"/>
  <c r="I592" i="13"/>
  <c r="H1105" i="13"/>
  <c r="I1105" i="13"/>
  <c r="G930" i="13"/>
  <c r="H1018" i="13"/>
  <c r="I1018" i="13"/>
  <c r="J929" i="13"/>
  <c r="F161" i="20"/>
  <c r="I1052" i="20"/>
  <c r="I1053" i="20" s="1"/>
  <c r="H1053" i="20"/>
  <c r="E250" i="20"/>
  <c r="F250" i="20" s="1"/>
  <c r="D251" i="20" s="1"/>
  <c r="E873" i="20"/>
  <c r="F873" i="20" s="1"/>
  <c r="H237" i="13"/>
  <c r="I237" i="13"/>
  <c r="E1276" i="13"/>
  <c r="F1276" i="13" s="1"/>
  <c r="E1106" i="13"/>
  <c r="F1106" i="13" s="1"/>
  <c r="I872" i="20" l="1"/>
  <c r="J591" i="13"/>
  <c r="J592" i="13" s="1"/>
  <c r="G961" i="20"/>
  <c r="D1277" i="13"/>
  <c r="G1276" i="13"/>
  <c r="F696" i="20"/>
  <c r="G696" i="20" s="1"/>
  <c r="G697" i="20" s="1"/>
  <c r="J753" i="13"/>
  <c r="J1018" i="13"/>
  <c r="J1188" i="13"/>
  <c r="I695" i="20"/>
  <c r="J1105" i="13"/>
  <c r="J1275" i="13"/>
  <c r="J840" i="13"/>
  <c r="D1190" i="13"/>
  <c r="G1189" i="13"/>
  <c r="D1107" i="13"/>
  <c r="G1106" i="13"/>
  <c r="D239" i="13"/>
  <c r="G238" i="13"/>
  <c r="D874" i="20"/>
  <c r="H873" i="20"/>
  <c r="G873" i="20"/>
  <c r="D159" i="13"/>
  <c r="G158" i="13"/>
  <c r="D932" i="13"/>
  <c r="G931" i="13"/>
  <c r="E842" i="13"/>
  <c r="F842" i="13" s="1"/>
  <c r="E962" i="20"/>
  <c r="F962" i="20" s="1"/>
  <c r="E332" i="13"/>
  <c r="F332" i="13" s="1"/>
  <c r="I604" i="20"/>
  <c r="E1229" i="20"/>
  <c r="F1229" i="20" s="1"/>
  <c r="E501" i="13"/>
  <c r="F501" i="13" s="1"/>
  <c r="D502" i="13" s="1"/>
  <c r="E755" i="13"/>
  <c r="F755" i="13" s="1"/>
  <c r="H331" i="13"/>
  <c r="I331" i="13"/>
  <c r="E1277" i="13"/>
  <c r="F1277" i="13" s="1"/>
  <c r="D1278" i="13" s="1"/>
  <c r="H250" i="20"/>
  <c r="G250" i="20"/>
  <c r="H783" i="20"/>
  <c r="J406" i="13"/>
  <c r="G754" i="13"/>
  <c r="I340" i="20"/>
  <c r="I341" i="20" s="1"/>
  <c r="H341" i="20"/>
  <c r="H1019" i="13"/>
  <c r="I1019" i="13"/>
  <c r="E605" i="20"/>
  <c r="F605" i="20" s="1"/>
  <c r="H667" i="13"/>
  <c r="I667" i="13"/>
  <c r="H407" i="13"/>
  <c r="I407" i="13"/>
  <c r="H1276" i="13"/>
  <c r="I1276" i="13"/>
  <c r="E251" i="20"/>
  <c r="E252" i="20" s="1"/>
  <c r="I429" i="20"/>
  <c r="I430" i="20" s="1"/>
  <c r="H430" i="20"/>
  <c r="E784" i="20"/>
  <c r="F784" i="20" s="1"/>
  <c r="H500" i="13"/>
  <c r="I500" i="13"/>
  <c r="J237" i="13"/>
  <c r="G161" i="20"/>
  <c r="G162" i="20" s="1"/>
  <c r="H161" i="20"/>
  <c r="H930" i="13"/>
  <c r="I930" i="13"/>
  <c r="G841" i="13"/>
  <c r="G783" i="20"/>
  <c r="H961" i="20"/>
  <c r="J157" i="13"/>
  <c r="J666" i="13"/>
  <c r="E1020" i="13"/>
  <c r="F1020" i="13" s="1"/>
  <c r="D1021" i="13" s="1"/>
  <c r="I1228" i="20"/>
  <c r="E668" i="13"/>
  <c r="F668" i="13" s="1"/>
  <c r="D669" i="13" s="1"/>
  <c r="E408" i="13"/>
  <c r="F408" i="13" s="1"/>
  <c r="D409" i="13" s="1"/>
  <c r="D843" i="13" l="1"/>
  <c r="G842" i="13"/>
  <c r="I961" i="20"/>
  <c r="F251" i="20"/>
  <c r="G251" i="20" s="1"/>
  <c r="G252" i="20" s="1"/>
  <c r="H696" i="20"/>
  <c r="I696" i="20" s="1"/>
  <c r="I697" i="20" s="1"/>
  <c r="D1230" i="20"/>
  <c r="E1230" i="20" s="1"/>
  <c r="E1231" i="20" s="1"/>
  <c r="H1229" i="20"/>
  <c r="G1229" i="20"/>
  <c r="D333" i="13"/>
  <c r="E333" i="13" s="1"/>
  <c r="G332" i="13"/>
  <c r="H332" i="13" s="1"/>
  <c r="D963" i="20"/>
  <c r="E963" i="20" s="1"/>
  <c r="E964" i="20" s="1"/>
  <c r="H962" i="20"/>
  <c r="G962" i="20"/>
  <c r="J930" i="13"/>
  <c r="I250" i="20"/>
  <c r="J331" i="13"/>
  <c r="I873" i="20"/>
  <c r="D756" i="13"/>
  <c r="G755" i="13"/>
  <c r="D606" i="20"/>
  <c r="H605" i="20"/>
  <c r="G605" i="20"/>
  <c r="D785" i="20"/>
  <c r="H784" i="20"/>
  <c r="G784" i="20"/>
  <c r="H842" i="13"/>
  <c r="I842" i="13"/>
  <c r="E932" i="13"/>
  <c r="F932" i="13" s="1"/>
  <c r="H1106" i="13"/>
  <c r="I1106" i="13"/>
  <c r="G1020" i="13"/>
  <c r="J500" i="13"/>
  <c r="J1276" i="13"/>
  <c r="J667" i="13"/>
  <c r="E1278" i="13"/>
  <c r="F1278" i="13" s="1"/>
  <c r="D1279" i="13" s="1"/>
  <c r="E502" i="13"/>
  <c r="F502" i="13" s="1"/>
  <c r="E843" i="13"/>
  <c r="F843" i="13" s="1"/>
  <c r="H158" i="13"/>
  <c r="I158" i="13"/>
  <c r="E874" i="20"/>
  <c r="E875" i="20" s="1"/>
  <c r="E1107" i="13"/>
  <c r="E1108" i="13" s="1"/>
  <c r="E1021" i="13"/>
  <c r="E1022" i="13" s="1"/>
  <c r="G408" i="13"/>
  <c r="G668" i="13"/>
  <c r="I161" i="20"/>
  <c r="I162" i="20" s="1"/>
  <c r="H162" i="20"/>
  <c r="I783" i="20"/>
  <c r="G501" i="13"/>
  <c r="E159" i="13"/>
  <c r="F159" i="13" s="1"/>
  <c r="D160" i="13" s="1"/>
  <c r="H238" i="13"/>
  <c r="I238" i="13"/>
  <c r="H1189" i="13"/>
  <c r="I1189" i="13"/>
  <c r="E669" i="13"/>
  <c r="F669" i="13" s="1"/>
  <c r="D670" i="13" s="1"/>
  <c r="E409" i="13"/>
  <c r="F409" i="13" s="1"/>
  <c r="H841" i="13"/>
  <c r="I841" i="13"/>
  <c r="J407" i="13"/>
  <c r="J1019" i="13"/>
  <c r="H754" i="13"/>
  <c r="I754" i="13"/>
  <c r="G1277" i="13"/>
  <c r="H931" i="13"/>
  <c r="I931" i="13"/>
  <c r="E239" i="13"/>
  <c r="F239" i="13" s="1"/>
  <c r="E1190" i="13"/>
  <c r="F1190" i="13" s="1"/>
  <c r="H251" i="20" l="1"/>
  <c r="I251" i="20" s="1"/>
  <c r="I252" i="20" s="1"/>
  <c r="H697" i="20"/>
  <c r="F1107" i="13"/>
  <c r="G1107" i="13" s="1"/>
  <c r="H1107" i="13" s="1"/>
  <c r="H1108" i="13" s="1"/>
  <c r="I332" i="13"/>
  <c r="J332" i="13" s="1"/>
  <c r="F963" i="20"/>
  <c r="G963" i="20" s="1"/>
  <c r="G964" i="20" s="1"/>
  <c r="I1229" i="20"/>
  <c r="I962" i="20"/>
  <c r="E334" i="13"/>
  <c r="F333" i="13"/>
  <c r="G333" i="13" s="1"/>
  <c r="H333" i="13" s="1"/>
  <c r="H334" i="13" s="1"/>
  <c r="F874" i="20"/>
  <c r="G874" i="20" s="1"/>
  <c r="G875" i="20" s="1"/>
  <c r="F1230" i="20"/>
  <c r="G1230" i="20" s="1"/>
  <c r="G1231" i="20" s="1"/>
  <c r="J842" i="13"/>
  <c r="I605" i="20"/>
  <c r="J931" i="13"/>
  <c r="J1106" i="13"/>
  <c r="D503" i="13"/>
  <c r="G502" i="13"/>
  <c r="D933" i="13"/>
  <c r="G932" i="13"/>
  <c r="D240" i="13"/>
  <c r="G239" i="13"/>
  <c r="D410" i="13"/>
  <c r="G409" i="13"/>
  <c r="D844" i="13"/>
  <c r="G843" i="13"/>
  <c r="D1191" i="13"/>
  <c r="G1190" i="13"/>
  <c r="E1279" i="13"/>
  <c r="F1279" i="13" s="1"/>
  <c r="D1280" i="13" s="1"/>
  <c r="H1020" i="13"/>
  <c r="I1020" i="13"/>
  <c r="J238" i="13"/>
  <c r="H501" i="13"/>
  <c r="I501" i="13"/>
  <c r="H668" i="13"/>
  <c r="I668" i="13"/>
  <c r="F1021" i="13"/>
  <c r="G1021" i="13" s="1"/>
  <c r="J158" i="13"/>
  <c r="I784" i="20"/>
  <c r="E606" i="20"/>
  <c r="F606" i="20" s="1"/>
  <c r="H1277" i="13"/>
  <c r="I1277" i="13"/>
  <c r="G669" i="13"/>
  <c r="H963" i="20"/>
  <c r="H408" i="13"/>
  <c r="I408" i="13"/>
  <c r="H252" i="20"/>
  <c r="E785" i="20"/>
  <c r="E786" i="20" s="1"/>
  <c r="H755" i="13"/>
  <c r="I755" i="13"/>
  <c r="E670" i="13"/>
  <c r="F670" i="13" s="1"/>
  <c r="D671" i="13" s="1"/>
  <c r="E160" i="13"/>
  <c r="F160" i="13" s="1"/>
  <c r="J754" i="13"/>
  <c r="J841" i="13"/>
  <c r="J1189" i="13"/>
  <c r="G159" i="13"/>
  <c r="G1278" i="13"/>
  <c r="E756" i="13"/>
  <c r="F756" i="13" s="1"/>
  <c r="D757" i="13" s="1"/>
  <c r="I1107" i="13" l="1"/>
  <c r="J1107" i="13" s="1"/>
  <c r="J1108" i="13" s="1"/>
  <c r="I333" i="13"/>
  <c r="J333" i="13" s="1"/>
  <c r="J334" i="13" s="1"/>
  <c r="H1230" i="20"/>
  <c r="H1231" i="20" s="1"/>
  <c r="F785" i="20"/>
  <c r="G785" i="20" s="1"/>
  <c r="G786" i="20" s="1"/>
  <c r="H874" i="20"/>
  <c r="H875" i="20" s="1"/>
  <c r="J668" i="13"/>
  <c r="D607" i="20"/>
  <c r="G606" i="20"/>
  <c r="H606" i="20"/>
  <c r="D161" i="13"/>
  <c r="G160" i="13"/>
  <c r="E671" i="13"/>
  <c r="F671" i="13" s="1"/>
  <c r="D672" i="13" s="1"/>
  <c r="H1190" i="13"/>
  <c r="I1190" i="13"/>
  <c r="H159" i="13"/>
  <c r="I159" i="13"/>
  <c r="G670" i="13"/>
  <c r="I963" i="20"/>
  <c r="I964" i="20" s="1"/>
  <c r="H964" i="20"/>
  <c r="E1280" i="13"/>
  <c r="E1281" i="13" s="1"/>
  <c r="E1191" i="13"/>
  <c r="F1191" i="13" s="1"/>
  <c r="E933" i="13"/>
  <c r="F933" i="13" s="1"/>
  <c r="H1021" i="13"/>
  <c r="H1022" i="13" s="1"/>
  <c r="I1021" i="13"/>
  <c r="H932" i="13"/>
  <c r="I932" i="13"/>
  <c r="G756" i="13"/>
  <c r="H669" i="13"/>
  <c r="I669" i="13"/>
  <c r="H843" i="13"/>
  <c r="I843" i="13"/>
  <c r="H409" i="13"/>
  <c r="I409" i="13"/>
  <c r="H239" i="13"/>
  <c r="I239" i="13"/>
  <c r="H502" i="13"/>
  <c r="I502" i="13"/>
  <c r="H1278" i="13"/>
  <c r="I1278" i="13"/>
  <c r="E757" i="13"/>
  <c r="F757" i="13" s="1"/>
  <c r="J755" i="13"/>
  <c r="J408" i="13"/>
  <c r="J1277" i="13"/>
  <c r="J501" i="13"/>
  <c r="J1020" i="13"/>
  <c r="G1279" i="13"/>
  <c r="E844" i="13"/>
  <c r="F844" i="13" s="1"/>
  <c r="D845" i="13" s="1"/>
  <c r="E410" i="13"/>
  <c r="F410" i="13" s="1"/>
  <c r="D411" i="13" s="1"/>
  <c r="E240" i="13"/>
  <c r="F240" i="13" s="1"/>
  <c r="E503" i="13"/>
  <c r="F503" i="13" s="1"/>
  <c r="D504" i="13" s="1"/>
  <c r="H785" i="20" l="1"/>
  <c r="I1230" i="20"/>
  <c r="I1231" i="20" s="1"/>
  <c r="I1108" i="13"/>
  <c r="I334" i="13"/>
  <c r="I874" i="20"/>
  <c r="I875" i="20" s="1"/>
  <c r="J1278" i="13"/>
  <c r="J239" i="13"/>
  <c r="J843" i="13"/>
  <c r="D1192" i="13"/>
  <c r="E1192" i="13" s="1"/>
  <c r="F1192" i="13" s="1"/>
  <c r="D1193" i="13" s="1"/>
  <c r="G1191" i="13"/>
  <c r="H1191" i="13" s="1"/>
  <c r="I606" i="20"/>
  <c r="J932" i="13"/>
  <c r="J502" i="13"/>
  <c r="J409" i="13"/>
  <c r="J669" i="13"/>
  <c r="J159" i="13"/>
  <c r="J1190" i="13"/>
  <c r="D758" i="13"/>
  <c r="G757" i="13"/>
  <c r="D934" i="13"/>
  <c r="G933" i="13"/>
  <c r="D241" i="13"/>
  <c r="G240" i="13"/>
  <c r="E845" i="13"/>
  <c r="F845" i="13" s="1"/>
  <c r="D846" i="13" s="1"/>
  <c r="E672" i="13"/>
  <c r="F672" i="13" s="1"/>
  <c r="D673" i="13" s="1"/>
  <c r="E504" i="13"/>
  <c r="F504" i="13" s="1"/>
  <c r="D505" i="13" s="1"/>
  <c r="H1279" i="13"/>
  <c r="I1279" i="13"/>
  <c r="J1021" i="13"/>
  <c r="J1022" i="13" s="1"/>
  <c r="I1022" i="13"/>
  <c r="H670" i="13"/>
  <c r="I670" i="13"/>
  <c r="G671" i="13"/>
  <c r="E411" i="13"/>
  <c r="F411" i="13" s="1"/>
  <c r="D412" i="13" s="1"/>
  <c r="H756" i="13"/>
  <c r="I756" i="13"/>
  <c r="I785" i="20"/>
  <c r="I786" i="20" s="1"/>
  <c r="H786" i="20"/>
  <c r="G503" i="13"/>
  <c r="E161" i="13"/>
  <c r="E162" i="13" s="1"/>
  <c r="G410" i="13"/>
  <c r="G844" i="13"/>
  <c r="F1280" i="13"/>
  <c r="G1280" i="13" s="1"/>
  <c r="H160" i="13"/>
  <c r="I160" i="13"/>
  <c r="E607" i="20"/>
  <c r="E608" i="20" s="1"/>
  <c r="I1191" i="13" l="1"/>
  <c r="J1191" i="13" s="1"/>
  <c r="F161" i="13"/>
  <c r="G161" i="13" s="1"/>
  <c r="H161" i="13" s="1"/>
  <c r="H162" i="13" s="1"/>
  <c r="J756" i="13"/>
  <c r="J160" i="13"/>
  <c r="E412" i="13"/>
  <c r="F412" i="13" s="1"/>
  <c r="E673" i="13"/>
  <c r="F673" i="13" s="1"/>
  <c r="D674" i="13" s="1"/>
  <c r="H933" i="13"/>
  <c r="I933" i="13"/>
  <c r="H410" i="13"/>
  <c r="I410" i="13"/>
  <c r="E505" i="13"/>
  <c r="E506" i="13" s="1"/>
  <c r="E934" i="13"/>
  <c r="F934" i="13" s="1"/>
  <c r="H844" i="13"/>
  <c r="I844" i="13"/>
  <c r="H503" i="13"/>
  <c r="I503" i="13"/>
  <c r="H671" i="13"/>
  <c r="I671" i="13"/>
  <c r="G504" i="13"/>
  <c r="G672" i="13"/>
  <c r="H240" i="13"/>
  <c r="I240" i="13"/>
  <c r="H757" i="13"/>
  <c r="I757" i="13"/>
  <c r="E846" i="13"/>
  <c r="F846" i="13" s="1"/>
  <c r="E1193" i="13"/>
  <c r="E1194" i="13" s="1"/>
  <c r="G1192" i="13"/>
  <c r="F607" i="20"/>
  <c r="H1280" i="13"/>
  <c r="H1281" i="13" s="1"/>
  <c r="I1280" i="13"/>
  <c r="G411" i="13"/>
  <c r="J670" i="13"/>
  <c r="J1279" i="13"/>
  <c r="G845" i="13"/>
  <c r="E241" i="13"/>
  <c r="F241" i="13" s="1"/>
  <c r="E758" i="13"/>
  <c r="F758" i="13" s="1"/>
  <c r="D759" i="13" s="1"/>
  <c r="I161" i="13" l="1"/>
  <c r="J161" i="13" s="1"/>
  <c r="J162" i="13" s="1"/>
  <c r="G673" i="13"/>
  <c r="J240" i="13"/>
  <c r="J671" i="13"/>
  <c r="J844" i="13"/>
  <c r="J757" i="13"/>
  <c r="J503" i="13"/>
  <c r="J933" i="13"/>
  <c r="J410" i="13"/>
  <c r="D935" i="13"/>
  <c r="G934" i="13"/>
  <c r="D413" i="13"/>
  <c r="G412" i="13"/>
  <c r="D242" i="13"/>
  <c r="G241" i="13"/>
  <c r="D847" i="13"/>
  <c r="G846" i="13"/>
  <c r="G758" i="13"/>
  <c r="F1193" i="13"/>
  <c r="G1193" i="13" s="1"/>
  <c r="E674" i="13"/>
  <c r="F674" i="13" s="1"/>
  <c r="J1280" i="13"/>
  <c r="J1281" i="13" s="1"/>
  <c r="I1281" i="13"/>
  <c r="H673" i="13"/>
  <c r="I673" i="13"/>
  <c r="E759" i="13"/>
  <c r="F759" i="13" s="1"/>
  <c r="D760" i="13" s="1"/>
  <c r="H411" i="13"/>
  <c r="I411" i="13"/>
  <c r="G607" i="20"/>
  <c r="G608" i="20" s="1"/>
  <c r="H607" i="20"/>
  <c r="H672" i="13"/>
  <c r="I672" i="13"/>
  <c r="H845" i="13"/>
  <c r="I845" i="13"/>
  <c r="H1192" i="13"/>
  <c r="I1192" i="13"/>
  <c r="H504" i="13"/>
  <c r="I504" i="13"/>
  <c r="F505" i="13"/>
  <c r="G505" i="13" s="1"/>
  <c r="I162" i="13" l="1"/>
  <c r="D675" i="13"/>
  <c r="G674" i="13"/>
  <c r="I674" i="13" s="1"/>
  <c r="J1192" i="13"/>
  <c r="J504" i="13"/>
  <c r="J845" i="13"/>
  <c r="J672" i="13"/>
  <c r="J411" i="13"/>
  <c r="E760" i="13"/>
  <c r="F760" i="13" s="1"/>
  <c r="D761" i="13" s="1"/>
  <c r="H505" i="13"/>
  <c r="H506" i="13" s="1"/>
  <c r="I505" i="13"/>
  <c r="E675" i="13"/>
  <c r="F675" i="13" s="1"/>
  <c r="E847" i="13"/>
  <c r="F847" i="13" s="1"/>
  <c r="D848" i="13" s="1"/>
  <c r="E413" i="13"/>
  <c r="F413" i="13" s="1"/>
  <c r="I607" i="20"/>
  <c r="I608" i="20" s="1"/>
  <c r="H608" i="20"/>
  <c r="H846" i="13"/>
  <c r="I846" i="13"/>
  <c r="G759" i="13"/>
  <c r="H1193" i="13"/>
  <c r="H1194" i="13" s="1"/>
  <c r="I1193" i="13"/>
  <c r="H241" i="13"/>
  <c r="I241" i="13"/>
  <c r="H934" i="13"/>
  <c r="I934" i="13"/>
  <c r="H412" i="13"/>
  <c r="I412" i="13"/>
  <c r="J673" i="13"/>
  <c r="H758" i="13"/>
  <c r="I758" i="13"/>
  <c r="E242" i="13"/>
  <c r="F242" i="13" s="1"/>
  <c r="D243" i="13" s="1"/>
  <c r="E935" i="13"/>
  <c r="E936" i="13" s="1"/>
  <c r="H674" i="13" l="1"/>
  <c r="J674" i="13" s="1"/>
  <c r="J758" i="13"/>
  <c r="J846" i="13"/>
  <c r="G847" i="13"/>
  <c r="H847" i="13" s="1"/>
  <c r="J934" i="13"/>
  <c r="D414" i="13"/>
  <c r="G413" i="13"/>
  <c r="D676" i="13"/>
  <c r="G675" i="13"/>
  <c r="E761" i="13"/>
  <c r="F761" i="13" s="1"/>
  <c r="E848" i="13"/>
  <c r="F848" i="13" s="1"/>
  <c r="G760" i="13"/>
  <c r="E243" i="13"/>
  <c r="F243" i="13" s="1"/>
  <c r="D244" i="13" s="1"/>
  <c r="J1193" i="13"/>
  <c r="J1194" i="13" s="1"/>
  <c r="I1194" i="13"/>
  <c r="F935" i="13"/>
  <c r="G935" i="13" s="1"/>
  <c r="G242" i="13"/>
  <c r="J412" i="13"/>
  <c r="J241" i="13"/>
  <c r="H759" i="13"/>
  <c r="I759" i="13"/>
  <c r="J505" i="13"/>
  <c r="J506" i="13" s="1"/>
  <c r="I506" i="13"/>
  <c r="I847" i="13" l="1"/>
  <c r="J847" i="13" s="1"/>
  <c r="J759" i="13"/>
  <c r="D762" i="13"/>
  <c r="G761" i="13"/>
  <c r="D849" i="13"/>
  <c r="G848" i="13"/>
  <c r="H242" i="13"/>
  <c r="I242" i="13"/>
  <c r="E676" i="13"/>
  <c r="F676" i="13" s="1"/>
  <c r="G243" i="13"/>
  <c r="H413" i="13"/>
  <c r="I413" i="13"/>
  <c r="E244" i="13"/>
  <c r="F244" i="13" s="1"/>
  <c r="D245" i="13" s="1"/>
  <c r="H675" i="13"/>
  <c r="I675" i="13"/>
  <c r="H935" i="13"/>
  <c r="H936" i="13" s="1"/>
  <c r="I935" i="13"/>
  <c r="H760" i="13"/>
  <c r="I760" i="13"/>
  <c r="E414" i="13"/>
  <c r="F414" i="13" s="1"/>
  <c r="D415" i="13" s="1"/>
  <c r="J413" i="13" l="1"/>
  <c r="J242" i="13"/>
  <c r="D677" i="13"/>
  <c r="G676" i="13"/>
  <c r="E245" i="13"/>
  <c r="F245" i="13" s="1"/>
  <c r="E849" i="13"/>
  <c r="E850" i="13" s="1"/>
  <c r="H243" i="13"/>
  <c r="I243" i="13"/>
  <c r="H761" i="13"/>
  <c r="I761" i="13"/>
  <c r="E415" i="13"/>
  <c r="F415" i="13" s="1"/>
  <c r="D416" i="13" s="1"/>
  <c r="H848" i="13"/>
  <c r="I848" i="13"/>
  <c r="G414" i="13"/>
  <c r="J935" i="13"/>
  <c r="J936" i="13" s="1"/>
  <c r="I936" i="13"/>
  <c r="J760" i="13"/>
  <c r="J675" i="13"/>
  <c r="G244" i="13"/>
  <c r="E762" i="13"/>
  <c r="F762" i="13" s="1"/>
  <c r="F849" i="13" l="1"/>
  <c r="G849" i="13" s="1"/>
  <c r="J243" i="13"/>
  <c r="J761" i="13"/>
  <c r="D763" i="13"/>
  <c r="G762" i="13"/>
  <c r="D246" i="13"/>
  <c r="G245" i="13"/>
  <c r="H849" i="13"/>
  <c r="H850" i="13" s="1"/>
  <c r="I849" i="13"/>
  <c r="H676" i="13"/>
  <c r="I676" i="13"/>
  <c r="H244" i="13"/>
  <c r="I244" i="13"/>
  <c r="E416" i="13"/>
  <c r="F416" i="13" s="1"/>
  <c r="D417" i="13" s="1"/>
  <c r="H414" i="13"/>
  <c r="I414" i="13"/>
  <c r="J848" i="13"/>
  <c r="G415" i="13"/>
  <c r="E677" i="13"/>
  <c r="E678" i="13" s="1"/>
  <c r="J414" i="13" l="1"/>
  <c r="J676" i="13"/>
  <c r="E417" i="13"/>
  <c r="F417" i="13" s="1"/>
  <c r="H245" i="13"/>
  <c r="I245" i="13"/>
  <c r="E246" i="13"/>
  <c r="F246" i="13"/>
  <c r="D247" i="13" s="1"/>
  <c r="F677" i="13"/>
  <c r="G677" i="13" s="1"/>
  <c r="J244" i="13"/>
  <c r="J849" i="13"/>
  <c r="J850" i="13" s="1"/>
  <c r="I850" i="13"/>
  <c r="H762" i="13"/>
  <c r="I762" i="13"/>
  <c r="H415" i="13"/>
  <c r="I415" i="13"/>
  <c r="G416" i="13"/>
  <c r="E763" i="13"/>
  <c r="E764" i="13" s="1"/>
  <c r="J762" i="13" l="1"/>
  <c r="J415" i="13"/>
  <c r="D418" i="13"/>
  <c r="G417" i="13"/>
  <c r="E247" i="13"/>
  <c r="E248" i="13" s="1"/>
  <c r="F763" i="13"/>
  <c r="G763" i="13" s="1"/>
  <c r="G246" i="13"/>
  <c r="H416" i="13"/>
  <c r="I416" i="13"/>
  <c r="H677" i="13"/>
  <c r="H678" i="13" s="1"/>
  <c r="I677" i="13"/>
  <c r="J245" i="13"/>
  <c r="J677" i="13" l="1"/>
  <c r="J678" i="13" s="1"/>
  <c r="I678" i="13"/>
  <c r="H246" i="13"/>
  <c r="I246" i="13"/>
  <c r="H763" i="13"/>
  <c r="H764" i="13" s="1"/>
  <c r="I763" i="13"/>
  <c r="H417" i="13"/>
  <c r="I417" i="13"/>
  <c r="J416" i="13"/>
  <c r="F247" i="13"/>
  <c r="G247" i="13" s="1"/>
  <c r="E418" i="13"/>
  <c r="F418" i="13" s="1"/>
  <c r="D419" i="13" s="1"/>
  <c r="J417" i="13" l="1"/>
  <c r="J246" i="13"/>
  <c r="G418" i="13"/>
  <c r="H247" i="13"/>
  <c r="H248" i="13" s="1"/>
  <c r="I247" i="13"/>
  <c r="J763" i="13"/>
  <c r="J764" i="13" s="1"/>
  <c r="I764" i="13"/>
  <c r="E419" i="13"/>
  <c r="E420" i="13" s="1"/>
  <c r="F419" i="13" l="1"/>
  <c r="G419" i="13" s="1"/>
  <c r="J247" i="13"/>
  <c r="J248" i="13" s="1"/>
  <c r="I248" i="13"/>
  <c r="H418" i="13"/>
  <c r="I418" i="13"/>
  <c r="J418" i="13" l="1"/>
  <c r="H419" i="13"/>
  <c r="H420" i="13" s="1"/>
  <c r="I419" i="13"/>
  <c r="J419" i="13" l="1"/>
  <c r="J420" i="13" s="1"/>
  <c r="I420" i="13"/>
</calcChain>
</file>

<file path=xl/sharedStrings.xml><?xml version="1.0" encoding="utf-8"?>
<sst xmlns="http://schemas.openxmlformats.org/spreadsheetml/2006/main" count="3989" uniqueCount="1447">
  <si>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</si>
  <si>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</si>
  <si>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</si>
  <si>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</si>
  <si>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</si>
  <si>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</si>
  <si>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</si>
  <si>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</si>
  <si>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</si>
  <si>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</si>
  <si>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</si>
  <si>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</si>
  <si>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</si>
  <si>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</si>
  <si>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</si>
  <si>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</si>
  <si>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</si>
  <si>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</si>
  <si>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</si>
  <si>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</si>
  <si>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</si>
  <si>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</si>
  <si>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</si>
  <si>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</si>
  <si>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</si>
  <si>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</si>
  <si>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</si>
  <si>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</si>
  <si>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</si>
  <si>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</si>
  <si>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</si>
  <si>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</si>
  <si>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</si>
  <si>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</si>
  <si>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</si>
  <si>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</si>
  <si>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</si>
  <si>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</si>
  <si>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</si>
  <si>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</si>
  <si>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</si>
  <si>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</si>
  <si>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</si>
  <si>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</si>
  <si>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</si>
  <si>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</si>
  <si>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</si>
  <si>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</si>
  <si>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</si>
  <si>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</si>
  <si>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</si>
  <si>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</si>
  <si>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</si>
  <si>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</si>
  <si>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</si>
  <si>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</si>
  <si>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</si>
  <si>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</si>
  <si>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</si>
  <si>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</si>
  <si>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</si>
  <si>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</si>
  <si>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</si>
  <si>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</si>
  <si>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</si>
  <si>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</si>
  <si>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</si>
  <si>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</si>
  <si>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</si>
  <si>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</si>
  <si>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</si>
  <si>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</si>
  <si>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</si>
  <si>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</si>
  <si>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</si>
  <si>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</si>
  <si>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</si>
  <si>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</si>
  <si>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</si>
  <si>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</si>
  <si>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</si>
  <si>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</si>
  <si>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</si>
  <si>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</si>
  <si>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</si>
  <si>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</si>
  <si>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</si>
  <si>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</si>
  <si>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</si>
  <si>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</si>
  <si>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</si>
  <si>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</si>
  <si>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</si>
  <si>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</si>
  <si>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</si>
  <si>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</si>
  <si>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</si>
  <si>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</si>
  <si>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</si>
  <si>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</si>
  <si>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</si>
  <si>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</si>
  <si>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</si>
  <si>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</si>
  <si>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</si>
  <si>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</si>
  <si>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</si>
  <si>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</si>
  <si>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</si>
  <si>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</si>
  <si>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</si>
  <si>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</si>
  <si>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</si>
  <si>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</si>
  <si>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</si>
  <si>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</si>
  <si>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</si>
  <si>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</si>
  <si>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</si>
  <si>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</si>
  <si>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</si>
  <si>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</si>
  <si>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</si>
  <si>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</si>
  <si>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</si>
  <si>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</si>
  <si>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</si>
  <si>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</si>
  <si>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</si>
  <si>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</si>
  <si>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</si>
  <si>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</si>
  <si>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</si>
  <si>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</si>
  <si>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</si>
  <si>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</si>
  <si>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</si>
  <si>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</si>
  <si>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</si>
  <si>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</si>
  <si>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</si>
  <si>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</si>
  <si>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</si>
  <si>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</si>
  <si>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</si>
  <si>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</si>
  <si>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</si>
  <si>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</si>
  <si>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</si>
  <si>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</si>
  <si>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</si>
  <si>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</si>
  <si>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</si>
  <si>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</si>
  <si>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</si>
  <si>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</si>
  <si>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</si>
  <si>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</si>
  <si>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</si>
  <si>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</si>
  <si>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</si>
  <si>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</si>
  <si>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</si>
  <si>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</si>
  <si>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</si>
  <si>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</si>
  <si>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</si>
  <si>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</si>
  <si>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</si>
  <si>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</si>
  <si>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</si>
  <si>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</si>
  <si>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</si>
  <si>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</si>
  <si>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</si>
  <si>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</si>
  <si>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</si>
  <si>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</si>
  <si>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</si>
  <si>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</si>
  <si>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</si>
  <si>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</si>
  <si>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</si>
  <si>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</si>
  <si>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</si>
  <si>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</si>
  <si>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</si>
  <si>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</si>
  <si>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</si>
  <si>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</si>
  <si>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</si>
  <si>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</si>
  <si>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</si>
  <si>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</si>
  <si>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</si>
  <si>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</si>
  <si>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</si>
  <si>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</si>
  <si>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</si>
  <si>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</si>
  <si>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</si>
  <si>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</si>
  <si>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</si>
  <si>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</si>
  <si>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</si>
  <si>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</si>
  <si>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</si>
  <si>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</si>
  <si>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</si>
  <si>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</si>
  <si>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</si>
  <si>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</si>
  <si>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</si>
  <si>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</si>
  <si>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</si>
  <si>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</si>
  <si>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</si>
  <si>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</si>
  <si>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</si>
  <si>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</si>
  <si>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</si>
  <si>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</si>
  <si>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</si>
  <si>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</si>
  <si>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</si>
  <si>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</si>
  <si>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</si>
  <si>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</si>
  <si>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</si>
  <si>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</si>
  <si>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</si>
  <si>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</si>
  <si>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</si>
  <si>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</si>
  <si>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</si>
  <si>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</si>
  <si>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</si>
  <si>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</si>
  <si>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</si>
  <si>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</si>
  <si>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</si>
  <si>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</si>
  <si>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</si>
  <si>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</si>
  <si>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</si>
  <si>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</si>
  <si>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</si>
  <si>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</si>
  <si>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</si>
  <si>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</si>
  <si>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</si>
  <si>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</si>
  <si>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</si>
  <si>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</si>
  <si>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</si>
  <si>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</si>
  <si>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</si>
  <si>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</si>
  <si>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</si>
  <si>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</si>
  <si>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</si>
  <si>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</si>
  <si>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</si>
  <si>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</si>
  <si>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</si>
  <si>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</si>
  <si>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</si>
  <si>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</si>
  <si>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</si>
  <si>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</si>
  <si>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</si>
  <si>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</si>
  <si>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</si>
  <si>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</si>
  <si>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</si>
  <si>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</si>
  <si>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</si>
  <si>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</si>
  <si>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</si>
  <si>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</si>
  <si>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</si>
  <si>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</si>
  <si>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</si>
  <si>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</si>
  <si>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</si>
  <si>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</si>
  <si>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</si>
  <si>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</si>
  <si>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</si>
  <si>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</si>
  <si>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</si>
  <si>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</si>
  <si>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</si>
  <si>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</si>
  <si>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</si>
  <si>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</si>
  <si>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</si>
  <si>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</si>
  <si>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</si>
  <si>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</si>
  <si>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</si>
  <si>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</si>
  <si>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</si>
  <si>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</si>
  <si>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</si>
  <si>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</si>
  <si>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</si>
  <si>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</si>
  <si>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</si>
  <si>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</si>
  <si>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</si>
  <si>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</si>
  <si>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</si>
  <si>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</si>
  <si>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</si>
  <si>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</si>
  <si>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</si>
  <si>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</si>
  <si>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</si>
  <si>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</si>
  <si>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</si>
  <si>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</si>
  <si>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</si>
  <si>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</si>
  <si>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</si>
  <si>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</si>
  <si>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</si>
  <si>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</si>
  <si>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</si>
  <si>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</si>
  <si>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</si>
  <si>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</si>
  <si>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</si>
  <si>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</si>
  <si>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</si>
  <si>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</si>
  <si>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</si>
  <si>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</si>
  <si>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</si>
  <si>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</si>
  <si>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</si>
  <si>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</si>
  <si>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</si>
  <si>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</si>
  <si>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</si>
  <si>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</si>
  <si>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</si>
  <si>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</si>
  <si>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</si>
  <si>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</si>
  <si>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</si>
  <si>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</si>
  <si>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</si>
  <si>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</si>
  <si>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</si>
  <si>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</si>
  <si>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</si>
  <si>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</si>
  <si>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</si>
  <si>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</si>
  <si>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</si>
  <si>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</si>
  <si>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</si>
  <si>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</si>
  <si>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</si>
  <si>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</si>
  <si>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</si>
  <si>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</si>
  <si>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</si>
  <si>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</si>
  <si>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</si>
  <si>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</si>
  <si>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</si>
  <si>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</si>
  <si>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</si>
  <si>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</si>
  <si>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</si>
  <si>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</si>
  <si>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</si>
  <si>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</si>
  <si>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</si>
  <si>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</si>
  <si>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</si>
  <si>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</si>
  <si>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</si>
  <si>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</si>
  <si>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</si>
  <si>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</si>
  <si>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</si>
  <si>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</si>
  <si>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</si>
  <si>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</si>
  <si>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</si>
  <si>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</si>
  <si>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</si>
  <si>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</si>
  <si>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</si>
  <si>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</si>
  <si>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</si>
  <si>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</si>
  <si>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</si>
  <si>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</si>
  <si>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</si>
  <si>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</si>
  <si>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</si>
  <si>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</si>
  <si>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</si>
  <si>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</si>
  <si>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</si>
  <si>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</si>
  <si>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</si>
  <si>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</si>
  <si>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</si>
  <si>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</si>
  <si>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</si>
  <si>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</si>
  <si>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</si>
  <si>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</si>
  <si>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</si>
  <si>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</si>
  <si>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</si>
  <si>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</si>
  <si>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</si>
  <si>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</si>
  <si>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</si>
  <si>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</si>
  <si>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</si>
  <si>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</si>
  <si>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</si>
  <si>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</si>
  <si>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</si>
  <si>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</si>
  <si>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</si>
  <si>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</si>
  <si>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</si>
  <si>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</si>
  <si>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</si>
  <si>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</si>
  <si>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</si>
  <si>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</si>
  <si>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</si>
  <si>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</si>
  <si>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</si>
  <si>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</si>
  <si>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</si>
  <si>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</si>
  <si>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</si>
  <si>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</si>
  <si>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</si>
  <si>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</si>
  <si>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</si>
  <si>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</si>
  <si>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</si>
  <si>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</si>
  <si>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</si>
  <si>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</si>
  <si>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</si>
  <si>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</si>
  <si>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</si>
  <si>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</si>
  <si>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</si>
  <si>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</si>
  <si>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</si>
  <si>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</si>
  <si>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</si>
  <si>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</si>
  <si>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</si>
  <si>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</si>
  <si>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</si>
  <si>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</si>
  <si>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</si>
  <si>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</si>
  <si>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</si>
  <si>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</si>
  <si>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</si>
  <si>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</si>
  <si>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</si>
  <si>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</si>
  <si>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</si>
  <si>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</si>
  <si>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</si>
  <si>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</si>
  <si>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</si>
  <si>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</si>
  <si>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</si>
  <si>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</si>
  <si>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</si>
  <si>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</si>
  <si>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</si>
  <si>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</si>
  <si>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</si>
  <si>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</si>
  <si>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</si>
  <si>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</si>
  <si>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</si>
  <si>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</si>
  <si>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</si>
  <si>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</si>
  <si>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</si>
  <si>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</si>
  <si>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</si>
  <si>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</si>
  <si>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</si>
  <si>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</si>
  <si>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</si>
  <si>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</si>
  <si>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</si>
  <si>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</si>
  <si>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</si>
  <si>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</si>
  <si>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</si>
  <si>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</si>
  <si>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</si>
  <si>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</si>
  <si>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</si>
  <si>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</si>
  <si>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</si>
  <si>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</si>
  <si>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</si>
  <si>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</si>
  <si>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</si>
  <si>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</si>
  <si>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</si>
  <si>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</si>
  <si>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</si>
  <si>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</si>
  <si>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</si>
  <si>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</si>
  <si>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</si>
  <si>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</si>
  <si>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</si>
  <si>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</si>
  <si>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</si>
  <si>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</si>
  <si>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</si>
  <si>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</si>
  <si>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</si>
  <si>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</si>
  <si>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</si>
  <si>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</si>
  <si>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</si>
  <si>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</si>
  <si>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</si>
  <si>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</si>
  <si>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</si>
  <si>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</si>
  <si>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</si>
  <si>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</si>
  <si>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</si>
  <si>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</si>
  <si>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</si>
  <si>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</si>
  <si>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</si>
  <si>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</si>
  <si>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</si>
  <si>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</si>
  <si>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</si>
  <si>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</si>
  <si>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</si>
  <si>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</si>
  <si>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</si>
  <si>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</si>
  <si>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</si>
  <si>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</si>
  <si>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</si>
  <si>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</si>
  <si>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</si>
  <si>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</si>
  <si>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</si>
  <si>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</si>
  <si>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</si>
  <si>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</si>
  <si>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</si>
  <si>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</si>
  <si>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</si>
  <si>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</si>
  <si>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</si>
  <si>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</si>
  <si>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</si>
  <si>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</si>
  <si>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</si>
  <si>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</si>
  <si>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</si>
  <si>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</si>
  <si>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</si>
  <si>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</si>
  <si>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</si>
  <si>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</si>
  <si>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</si>
  <si>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</si>
  <si>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</si>
  <si>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</si>
  <si>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</si>
  <si>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</si>
  <si>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</si>
  <si>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Prepaid Lease </t>
  </si>
  <si>
    <t>Real and Personal Property - Tennessee</t>
  </si>
  <si>
    <t>Less: Net Value  Exempted Generation Plant</t>
  </si>
  <si>
    <t>Taxable Property Basis</t>
  </si>
  <si>
    <t>Real and Personal Property - West Virginia</t>
  </si>
  <si>
    <t>Real and Personal Property -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</si>
  <si>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</si>
  <si>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</si>
  <si>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</si>
  <si>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</si>
  <si>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</si>
  <si>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</si>
  <si>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</si>
  <si>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</si>
  <si>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</si>
  <si>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</si>
  <si>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</si>
  <si>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</si>
  <si>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</si>
  <si>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</si>
  <si>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</si>
  <si>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</si>
  <si>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</si>
  <si>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</si>
  <si>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</si>
  <si>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</si>
  <si>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</si>
  <si>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</si>
  <si>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</si>
  <si>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</si>
  <si>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</si>
  <si>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</si>
  <si>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</si>
  <si>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</si>
  <si>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</si>
  <si>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</si>
  <si>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</si>
  <si>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</si>
  <si>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</si>
  <si>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</si>
  <si>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</si>
  <si>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</si>
  <si>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</si>
  <si>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</si>
  <si>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</si>
  <si>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</si>
  <si>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</si>
  <si>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</si>
  <si>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</si>
  <si>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</si>
  <si>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</si>
  <si>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</si>
  <si>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</si>
  <si>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</si>
  <si>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</si>
  <si>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</si>
  <si>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</si>
  <si>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</si>
  <si>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</si>
  <si>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</si>
  <si>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</si>
  <si>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</si>
  <si>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</si>
  <si>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</si>
  <si>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</si>
  <si>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</si>
  <si>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</si>
  <si>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</si>
  <si>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</si>
  <si>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</si>
  <si>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</si>
  <si>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</si>
  <si>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</si>
  <si>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</si>
  <si>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</si>
  <si>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</si>
  <si>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</si>
  <si>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</si>
  <si>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</si>
  <si>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</si>
  <si>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</si>
  <si>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</si>
  <si>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</si>
  <si>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</si>
  <si>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</si>
  <si>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</si>
  <si>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</si>
  <si>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</si>
  <si>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</si>
  <si>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</si>
  <si>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</si>
  <si>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</si>
  <si>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</si>
  <si>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</si>
  <si>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</si>
  <si>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</si>
  <si>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</si>
  <si>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</si>
  <si>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</si>
  <si>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</si>
  <si>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</si>
  <si>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</si>
  <si>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</si>
  <si>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</si>
  <si>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</si>
  <si>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</si>
  <si>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</si>
  <si>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</si>
  <si>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</si>
  <si>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</si>
  <si>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</si>
  <si>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</si>
  <si>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</si>
  <si>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</si>
  <si>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</si>
  <si>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</si>
  <si>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</si>
  <si>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</si>
  <si>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</si>
  <si>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</si>
  <si>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</si>
  <si>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</si>
  <si>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</si>
  <si>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</si>
  <si>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</si>
  <si>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</si>
  <si>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</si>
  <si>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</si>
  <si>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</si>
  <si>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</si>
  <si>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</si>
  <si>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</si>
  <si>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</si>
  <si>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</si>
  <si>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</si>
  <si>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</si>
  <si>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</si>
  <si>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</si>
  <si>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</si>
  <si>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</si>
  <si>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</si>
  <si>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</si>
  <si>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</si>
  <si>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</si>
  <si>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</si>
  <si>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</si>
  <si>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</si>
  <si>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</si>
  <si>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</si>
  <si>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</si>
  <si>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</si>
  <si>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</si>
  <si>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</si>
  <si>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</si>
  <si>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</si>
  <si>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</si>
  <si>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</si>
  <si>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</si>
  <si>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</si>
  <si>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</si>
  <si>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</si>
  <si>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</si>
  <si>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</si>
  <si>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</si>
  <si>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</si>
  <si>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</si>
  <si>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</si>
  <si>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</si>
  <si>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</si>
  <si>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</si>
  <si>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</si>
  <si>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</si>
  <si>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</si>
  <si>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</si>
  <si>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</si>
  <si>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</si>
  <si>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</si>
  <si>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</si>
  <si>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</si>
  <si>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</si>
  <si>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</si>
  <si>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</si>
  <si>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</si>
  <si>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</si>
  <si>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</si>
  <si>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</si>
  <si>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</si>
  <si>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</si>
  <si>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</si>
  <si>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</si>
  <si>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</si>
  <si>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</si>
  <si>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</si>
  <si>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</si>
  <si>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</si>
  <si>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</si>
  <si>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</si>
  <si>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</si>
  <si>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</si>
  <si>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</si>
  <si>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</si>
  <si>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</si>
  <si>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</si>
  <si>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</si>
  <si>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</si>
  <si>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</si>
  <si>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</si>
  <si>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</si>
  <si>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</si>
  <si>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</si>
  <si>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</si>
  <si>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</si>
  <si>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</si>
  <si>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</si>
  <si>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</si>
  <si>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</si>
  <si>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</si>
  <si>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</si>
  <si>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</si>
  <si>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</si>
  <si>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</si>
  <si>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</si>
  <si>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</si>
  <si>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</si>
  <si>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</si>
  <si>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</si>
  <si>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</si>
  <si>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</si>
  <si>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</si>
  <si>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</si>
  <si>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</si>
  <si>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</si>
  <si>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</si>
  <si>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</si>
  <si>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</si>
  <si>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</si>
  <si>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</si>
  <si>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</si>
  <si>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</si>
  <si>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</si>
  <si>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</si>
  <si>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</si>
  <si>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</si>
  <si>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</si>
  <si>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</si>
  <si>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</si>
  <si>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</si>
  <si>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</si>
  <si>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</si>
  <si>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</si>
  <si>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</si>
  <si>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</si>
  <si>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</si>
  <si>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</si>
  <si>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</si>
  <si>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</si>
  <si>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</si>
  <si>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</si>
  <si>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</si>
  <si>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</si>
  <si>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</si>
  <si>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</si>
  <si>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</si>
  <si>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</si>
  <si>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</si>
  <si>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</si>
  <si>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</si>
  <si>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</si>
  <si>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</si>
  <si>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</si>
  <si>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</si>
  <si>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</si>
  <si>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</si>
  <si>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</si>
  <si>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Appalachian Power Company</t>
  </si>
  <si>
    <t>Accum Prv I/D Worker's Com</t>
  </si>
  <si>
    <t>1650001</t>
  </si>
  <si>
    <t>Prepaid Insurance</t>
  </si>
  <si>
    <t>Prepaid Taxes</t>
  </si>
  <si>
    <t>1650004</t>
  </si>
  <si>
    <t>Prepaid Interest</t>
  </si>
  <si>
    <t>1650006</t>
  </si>
  <si>
    <t>Other Prepayments</t>
  </si>
  <si>
    <t>1650009</t>
  </si>
  <si>
    <t>Prepaid Carry Cost-Factored AR</t>
  </si>
  <si>
    <t>1650010</t>
  </si>
  <si>
    <t>Prepaid Use Taxes</t>
  </si>
  <si>
    <t>1650014</t>
  </si>
  <si>
    <t>FAS 158 Qual Contra Asset</t>
  </si>
  <si>
    <t>1650016</t>
  </si>
  <si>
    <t>FAS 112 ASSETS</t>
  </si>
  <si>
    <t>1650021</t>
  </si>
  <si>
    <t>Prepaid Insurance - EIS</t>
  </si>
  <si>
    <t>1650023</t>
  </si>
  <si>
    <t>Prepaid Lease</t>
  </si>
  <si>
    <t>1650031</t>
  </si>
  <si>
    <t>Prepaid OCIP Work Comp</t>
  </si>
  <si>
    <t>1650032</t>
  </si>
  <si>
    <t>Prepaid OCIP Work Comp LT</t>
  </si>
  <si>
    <t>1650033</t>
  </si>
  <si>
    <t>Prepaid OCIP Work Comp - Aff</t>
  </si>
  <si>
    <t>1650034</t>
  </si>
  <si>
    <t>PPD OCIP Work Comp LT - Aff</t>
  </si>
  <si>
    <t>1650035</t>
  </si>
  <si>
    <t>PRW Without MED-D Benefits</t>
  </si>
  <si>
    <t>1650036</t>
  </si>
  <si>
    <t>PRW for Med-D Benefits</t>
  </si>
  <si>
    <t>1650037</t>
  </si>
  <si>
    <t>FAS158 Contra-PRW Exclud Med-D</t>
  </si>
  <si>
    <t>AR Factoring</t>
  </si>
  <si>
    <t>Prepaid Pension</t>
  </si>
  <si>
    <t>Prepaid Use Taxes Gen</t>
  </si>
  <si>
    <t>Prepaid Insurance EIS</t>
  </si>
  <si>
    <t>Pension Benefits - All functions</t>
  </si>
  <si>
    <t>Virginia T-RAC UnderRecovery</t>
  </si>
  <si>
    <t>9280000</t>
  </si>
  <si>
    <t>Regulatory Commission Exp</t>
  </si>
  <si>
    <t>9301000</t>
  </si>
  <si>
    <t>General Advertising Expenses</t>
  </si>
  <si>
    <t>9301001</t>
  </si>
  <si>
    <t>Newspaper Advertising Space</t>
  </si>
  <si>
    <t>9301002</t>
  </si>
  <si>
    <t>Radio Station Advertising Time</t>
  </si>
  <si>
    <t>9301003</t>
  </si>
  <si>
    <t>TV Station Advertising Time</t>
  </si>
  <si>
    <t>9301004</t>
  </si>
  <si>
    <t>Newspaper Advertising Prod Exp</t>
  </si>
  <si>
    <t>9301005</t>
  </si>
  <si>
    <t>Radio &amp;TV Advertising Prod Exp</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</si>
  <si>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</si>
  <si>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</si>
  <si>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</si>
  <si>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</si>
  <si>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</si>
  <si>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</si>
  <si>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</si>
  <si>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</si>
  <si>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</si>
  <si>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</si>
  <si>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</si>
  <si>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</si>
  <si>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</si>
  <si>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</si>
  <si>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</si>
  <si>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</si>
  <si>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</si>
  <si>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</si>
  <si>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</si>
  <si>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</si>
  <si>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</si>
  <si>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</si>
  <si>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</si>
  <si>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</si>
  <si>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</si>
  <si>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</si>
  <si>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</si>
  <si>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</si>
  <si>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</si>
  <si>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</si>
  <si>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Tennessee Income Tax Rate</t>
  </si>
  <si>
    <t>Apportionment Factor - Note 2</t>
  </si>
  <si>
    <t>West Virginia Net Income Tax Rate</t>
  </si>
  <si>
    <t>Virginia Income Tax Rate</t>
  </si>
  <si>
    <t>Ohio Franchise Tax Rate</t>
  </si>
  <si>
    <t>Phase-out Factor Note 1</t>
  </si>
  <si>
    <t>Michigan Business Income Tax Rate</t>
  </si>
  <si>
    <t>Illinois Corporation Income Tax Rate</t>
  </si>
  <si>
    <t>VIRGINIA JURISDICTION</t>
  </si>
  <si>
    <t>WEST VA JURISDICTION</t>
  </si>
  <si>
    <t>Senior Unsecured Notes - Series I</t>
  </si>
  <si>
    <t>Senior Unsecured Notes - Series K</t>
  </si>
  <si>
    <t>Senior Unsecured Notes - Series L</t>
  </si>
  <si>
    <t>Senior Unsecured Notes - Series H</t>
  </si>
  <si>
    <t>Senior Unsecured Notes - Series N</t>
  </si>
  <si>
    <t>Senior Unsecured Notes - Series Q</t>
  </si>
  <si>
    <t>Senior Unsecured Notes - Series S</t>
  </si>
  <si>
    <t>Senior Unsecured Notes - Series T</t>
  </si>
  <si>
    <t>APCo Worksheet J -  ATRR PROJECTED Calculation for PJM Projects Charged to Benefiting Zones</t>
  </si>
  <si>
    <t>RTEP ID: b0318 (Amos 765/138 kV Transformer)</t>
  </si>
  <si>
    <t>No</t>
  </si>
  <si>
    <t>RTEP ID: b1712.2 (Altavista-Leesville 138kV line)</t>
  </si>
  <si>
    <t>RTEP ID: b2020 (Rebuild Amos-Kanawha River 138 kV corridor)</t>
  </si>
  <si>
    <t>RTEP ID: b2021 (Kanawha River Gen Retirement - Upgrades)</t>
  </si>
  <si>
    <t>RTEP ID: b2017 (Rebuild Sporn-Waterford-Muskingum River 345 kV line)</t>
  </si>
  <si>
    <t>RTEP ID: b1660 (Install a 765/500 kV transformer at Cloverdale)</t>
  </si>
  <si>
    <t>RTEP ID: b1660.1 (Cloverdale: Establish 500 kV station and 500 to 765 kV tie)</t>
  </si>
  <si>
    <t>RTEP ID: b1663.2 (Jacksons Ferry 765 kV breakers, switches, bus work, and relays)</t>
  </si>
  <si>
    <t>RTEP ID: b1875 (138 kV Bradley to McClung upgrades)</t>
  </si>
  <si>
    <t>RTEP ID: b1797.1 (Reconductor portion of Cloverdale-Lexington 500 kV line)</t>
  </si>
  <si>
    <t>RTEP ID: b1712.1 (Altavista-Leesville 138kV line)</t>
  </si>
  <si>
    <t>RTEP ID: b2687.2 (Install a 300 MVAR shunt line reactor Broadford-Jacksons Ferry 765 kV line)</t>
  </si>
  <si>
    <t>RTEP ID: b2687.1 (Install a 450 MVAR SVC Jacksons Ferry 765kv Substation)</t>
  </si>
  <si>
    <t>Cap Limit</t>
  </si>
  <si>
    <t>Capital Structure Percentages</t>
  </si>
  <si>
    <t>Capital Structure Equity Limit (Note Z)</t>
  </si>
  <si>
    <t>Z</t>
  </si>
  <si>
    <t xml:space="preserve">Per the settlement in EL17-13, equity is limited to 55% in of the Company's capital structure.  If the percentage of actual equity exceeds the cap, the excess is included as long term debt in the capital structure.  </t>
  </si>
  <si>
    <t>1650017</t>
  </si>
  <si>
    <t>Prepayment - Coal</t>
  </si>
  <si>
    <t>Prepayed Taxes</t>
  </si>
  <si>
    <t>Prepaid Coal</t>
  </si>
  <si>
    <t>Regulatory Commission Exp-Adm</t>
  </si>
  <si>
    <t>Regulatory Commission Exp-Case</t>
  </si>
  <si>
    <t>Reg Com Exp-FERC Trans Cases</t>
  </si>
  <si>
    <t>9280001</t>
  </si>
  <si>
    <t>9280002</t>
  </si>
  <si>
    <t>9280005</t>
  </si>
  <si>
    <t>RTEP ID: b2230 (replace existing 150 MVAR reactor at Amos 765kV substation)</t>
  </si>
  <si>
    <t>Other prepayments - Gen</t>
  </si>
  <si>
    <t>Prefunded Pension Exp</t>
  </si>
  <si>
    <t>SFAS 158 Offset</t>
  </si>
  <si>
    <t>pg. 263, ln. 6</t>
  </si>
  <si>
    <t>pg. 263, ln. 21</t>
  </si>
  <si>
    <t>pg. 263, ln. 39</t>
  </si>
  <si>
    <t>pg. 263.1, ln. 5</t>
  </si>
  <si>
    <t>pg. 263.2, ln. 1</t>
  </si>
  <si>
    <t>TX AMORT POLLUTION CONT EQPT</t>
  </si>
  <si>
    <t xml:space="preserve">NON-UTILITY DEFERRED FIT </t>
  </si>
  <si>
    <t>SFAS 109 FLOW-THRU 281.3</t>
  </si>
  <si>
    <t>SFAS 109 EXCESS DFIT 281.4</t>
  </si>
  <si>
    <t>BOOK VS. TAX DEPRECIATION</t>
  </si>
  <si>
    <t>FERC ORDER 144 CATCH UP</t>
  </si>
  <si>
    <t>CAPD INTEREST - SECTION 481(a) - CHANGE IN METHD</t>
  </si>
  <si>
    <t>RELOCATION COST - SECTION 481(a) - CHANGE IN METH</t>
  </si>
  <si>
    <t>PJM INTEGRATION - SEC 481(a) - INTANG - DFD LABOR</t>
  </si>
  <si>
    <t>R &amp; D DEDUCTION - SECTION 174</t>
  </si>
  <si>
    <t>BK PLANT IN SERVICE-SFAS 143-ARO</t>
  </si>
  <si>
    <t>MNTR CARBON CAPTURE - SFAS 143 - ARO</t>
  </si>
  <si>
    <t>NORMALIZED BASIS DIFFS - TRANSFERRED PLANTS</t>
  </si>
  <si>
    <t>DFIT GENERATION PLANT</t>
  </si>
  <si>
    <t>GAIN/LOSS ON ACRS/MACRS PROPERTY</t>
  </si>
  <si>
    <t>GAIN/LOSS ON ACRS/MACRS-BK/TX UNIT PROP</t>
  </si>
  <si>
    <t>ABFUDC</t>
  </si>
  <si>
    <t>ABFUDC - TRANSMISSION</t>
  </si>
  <si>
    <t>ABFUDC - GENERAL</t>
  </si>
  <si>
    <t>ABFUDC - DISTRIBUTION</t>
  </si>
  <si>
    <t>TAXES CAPITALIZED</t>
  </si>
  <si>
    <t>PENSIONS CAPITALIZED</t>
  </si>
  <si>
    <t>SEC 481 PENS/OPEB ADJUSTMENT</t>
  </si>
  <si>
    <t>SAVINGS PLAN CAPITALIZED</t>
  </si>
  <si>
    <t>PERCENT REPAIR ALLOWANCE</t>
  </si>
  <si>
    <t>BOOK/TAX UNIT OF PROPERTY ADJ</t>
  </si>
  <si>
    <t>BK/TAX UNIT OF PROPERTY ADJ-SEC 481 ADJ</t>
  </si>
  <si>
    <t>BOOK/TAX MIXED SERVICE COST ADJ</t>
  </si>
  <si>
    <t>BK/TX MIXED SERVICE COST ADJ-SEC 481 ADJ</t>
  </si>
  <si>
    <t>BOOK/TAX UNIT OF PROPERTY ADJ: AGR TRANSFER</t>
  </si>
  <si>
    <t>BK/TX UNIT OF PROPERTY ADJ-SEC 481 ADJ: AGR TRANSFER</t>
  </si>
  <si>
    <t>TX ACCEL AMORT - CAPITALIZED SOFTWARE</t>
  </si>
  <si>
    <t>CAPITALIZED RELOCATION COSTS</t>
  </si>
  <si>
    <t>EXTRAORDINARY LOSS ON DISP OF PROP</t>
  </si>
  <si>
    <t>DEFD TAX GAIN - FIBER OPTIC LINE</t>
  </si>
  <si>
    <t>DISALLOWED COSTS-RESERVE DEFICIENCY-APCO VA</t>
  </si>
  <si>
    <t>AMORT PERPETUAL TERM ELECT PLT</t>
  </si>
  <si>
    <t>CAPITALIZED LEASES - A/C 1011 ASSETS</t>
  </si>
  <si>
    <t>GAIN ON REACQUIRED DEBT</t>
  </si>
  <si>
    <t>REMOVAL COSTS</t>
  </si>
  <si>
    <t>REMOVAL COSTS - ARO-MTNR CARBON CAPTURE</t>
  </si>
  <si>
    <t>REMOVAL COSTS REV - SFAS 143 - ARO</t>
  </si>
  <si>
    <t>TAX WRITE OFF MINE DEVEL COSTS</t>
  </si>
  <si>
    <t>BK DEPLETION -- NUEAST</t>
  </si>
  <si>
    <t>2007 IRS AUDIT ADJUSTMENTS - A/C 282</t>
  </si>
  <si>
    <t>TAX CUTS AND JOBS ACT (TCJA)</t>
  </si>
  <si>
    <t>EXCESS ADFIT</t>
  </si>
  <si>
    <t>SFAS 109 FLOW-THRU 282.3</t>
  </si>
  <si>
    <t>SFAS 109 EXCESS DFIT 282.4</t>
  </si>
  <si>
    <t>NOL - STATE C/F - DEF STATE TAX ASSET - L/T</t>
  </si>
  <si>
    <t>SW - UNDER RECOVERY FUEL COST</t>
  </si>
  <si>
    <t>SV - UNDER RECOVERY FUEL COST</t>
  </si>
  <si>
    <t>WV -ENEC UNDER RECOVERY BANK</t>
  </si>
  <si>
    <t>DEFD EQUITY CARRY CHGS - WV-ENEC</t>
  </si>
  <si>
    <t>WV UNRECOV FUEL POOL CAPACITY IMPACT</t>
  </si>
  <si>
    <t>WV CENTURY ENEC UNDER RECOVERY</t>
  </si>
  <si>
    <t>WV UNREC FUEL DISPUTED COAL INV</t>
  </si>
  <si>
    <t>CV-UNDER RECOVERY FUEL COST</t>
  </si>
  <si>
    <t>PROPERTY TAX - NEW METHOD - BOOK</t>
  </si>
  <si>
    <t>PROP TX-STATE 2 OLD METHOD-TX</t>
  </si>
  <si>
    <t>DEFD TAX GAIN - APCO WV SEC REG ASSET</t>
  </si>
  <si>
    <t>MTM BK GAIN - A/L - TAX DEFL</t>
  </si>
  <si>
    <t>MARK &amp; SPREAD - DEFL - 283 A/L</t>
  </si>
  <si>
    <t>ACCRUED BK PENSION EXPENSE</t>
  </si>
  <si>
    <t>ACCRUED BK PENSION COSTS - SFAS 158</t>
  </si>
  <si>
    <t>REG ASSET - DEFERRED RTO COSTS</t>
  </si>
  <si>
    <t>DEFD ENVIRON COMP COSTS &amp; CARRYING CHARGES</t>
  </si>
  <si>
    <t>DEFD SYS RELIABILITY COSTS &amp; CARRYING CHARGES</t>
  </si>
  <si>
    <t>DEFD EQUITY CARRY CHRGS-RELIABILITY CAPITAL</t>
  </si>
  <si>
    <t>DEFD EXPS (A/C 186)</t>
  </si>
  <si>
    <t>DEFD STORM DAMAGE</t>
  </si>
  <si>
    <t>RATE CASE DEFERRED CHARGES</t>
  </si>
  <si>
    <t>BK DEFL-DEMAND SIDE MNGMT EXP</t>
  </si>
  <si>
    <t>DEFD BK LOSS-NON AFF SALE-EMA</t>
  </si>
  <si>
    <t>BOOK &gt; TAX - EMA - A/C 283</t>
  </si>
  <si>
    <t>DEFD TX GAIN - INTERCO SALE - EMA</t>
  </si>
  <si>
    <t>DEFD TAX GAIN - EPA AUCTION</t>
  </si>
  <si>
    <t>DEFD BOOK GAIN - EPA AUCTION</t>
  </si>
  <si>
    <t>BK DEFL - MACSS COSTS</t>
  </si>
  <si>
    <t>TRANSITION REGULATORY ASSETS</t>
  </si>
  <si>
    <t>REG ASSET-SFAS 143 - ARO</t>
  </si>
  <si>
    <t>REG ASSET-SFAS 158 - PENSIONS</t>
  </si>
  <si>
    <t>REG ASSET-SFAS 158 - SERP</t>
  </si>
  <si>
    <t>REG ASSET-SFAS 158 - OPEB</t>
  </si>
  <si>
    <t>REG ASSET-UNDERRECOVERY-VIRGINIA T-RAC</t>
  </si>
  <si>
    <t>REG ASSET-MOUNTAINEER CARBON CAPTURE</t>
  </si>
  <si>
    <t>REG ASSET-DEFERRED RPS COSTS</t>
  </si>
  <si>
    <t>REG ASSET-CARRYING CHARGES-WV ENEC</t>
  </si>
  <si>
    <t>TAX DEFL - NON-DEPRECIABLES</t>
  </si>
  <si>
    <t>REG ASSET-DEFD SEVERANCE COSTS</t>
  </si>
  <si>
    <t>REG ASSET-TRANS AGREEMENT PHASE-IN-WV</t>
  </si>
  <si>
    <t>REG ASSET-DEFD VA WIND REPLACEMENT CSTS</t>
  </si>
  <si>
    <t>REG ASSET-NET CCS FEED STUDY COSTS</t>
  </si>
  <si>
    <t>REG ASSET-DEFD VA DEMAND RESPONSE PROGRAM</t>
  </si>
  <si>
    <t>REG ASSET DRESDEN OPERATION COST VA</t>
  </si>
  <si>
    <t>REG ASSET DRESDEN CARRYING COSTS VA</t>
  </si>
  <si>
    <t>REG ASSET DRESDEN UNRECOG EQUITY CC VA</t>
  </si>
  <si>
    <t>REG ASSET DRESDEN CARRYING COST WV</t>
  </si>
  <si>
    <t>REG ASSET DRESDEN OPERATING COSTS WV</t>
  </si>
  <si>
    <t>REG ASSET-DEFERRED VA RPS INCREM COSTS-CURRENT</t>
  </si>
  <si>
    <t>REG ASSET-DEFERRED VA WIND NON-INCREM COSTS</t>
  </si>
  <si>
    <t>REG ASSET-DEFD VA SOFTWARE LICENSING EXPENSE</t>
  </si>
  <si>
    <t>REG ASSET-WV VMP (VEGETATION MGMT) COSTS</t>
  </si>
  <si>
    <t>REG ASSET-CARRYING CHARGES-WV VMP</t>
  </si>
  <si>
    <t>REG ASSET-WW CC-CONSTR SURCHARG UNRECOG EQ</t>
  </si>
  <si>
    <t>REG ASSET-WW CONSTR SURCHRG OPER COSTS</t>
  </si>
  <si>
    <t>REG ASSET-WW CC CONSTR SURCHRG</t>
  </si>
  <si>
    <t>REG ASSET-UNREC EQUITY CC WV-AMOS 3</t>
  </si>
  <si>
    <t>REG ASSET-CARRYING CHARGES WV-AMOS 3</t>
  </si>
  <si>
    <t>REG ASSET-IGCC PRE-CONSTRUCTION COSTS</t>
  </si>
  <si>
    <t>REG ASSET-FELMAN PREM/DISC-ENEC-WV</t>
  </si>
  <si>
    <t>REG ASSET-WV AIR QUALITY PERMIT FEES</t>
  </si>
  <si>
    <t>REG ASSET-CAR CHGS-CAPITAL-WV VMP</t>
  </si>
  <si>
    <t>REG ASSET-NBV-ARO-RETIRED PLANTS</t>
  </si>
  <si>
    <t>REG ASSET-EXTRA LOSS-CLINCH RIVER PLANT</t>
  </si>
  <si>
    <t>REG ASSET-EXTRA LOSS-GLEN LYN U5 NET PLANT</t>
  </si>
  <si>
    <t>REG ASSET-EXTRA LOSS-SPORN PLANT</t>
  </si>
  <si>
    <t>REG ASSET-EXTRA LOSS-KANAWHA RIVER PLANT</t>
  </si>
  <si>
    <t>REG ASSET-EXTRA LOSS-GLEN LYN U6 NET PLANT</t>
  </si>
  <si>
    <t>REG ASSET-M&amp;S RETIRING PLANTS</t>
  </si>
  <si>
    <t>REG ASSET-COAL CO UNCOLL ACCTS</t>
  </si>
  <si>
    <t>REG ASSET-DEFD DEPREC-WV VEG MGT PROG</t>
  </si>
  <si>
    <t>REG ASSET-CAR CHGS-WV VMP-UNREC EQ</t>
  </si>
  <si>
    <t>REG ASSET-WV BASE REVENUES</t>
  </si>
  <si>
    <t>REG ASSET-WV BASE REVENUES-CAR CHGS</t>
  </si>
  <si>
    <t>REG ASSET-CAR CHGS-WV VMP RESERVE</t>
  </si>
  <si>
    <t>REG ASSET-VA EE-RAC EFFICIENT PRODUCTS</t>
  </si>
  <si>
    <t xml:space="preserve">REG ASSET-VA EE-RAC C&amp;I PRESCRIPTIVE </t>
  </si>
  <si>
    <t xml:space="preserve">REG ASSET-VA EE-RAC MOBILE HOME ES </t>
  </si>
  <si>
    <t>REG ASSET-VA EE-RAC EQUITY MARGIN</t>
  </si>
  <si>
    <t>REG ASSET-WV EE/DR-COMPANY FUNDED</t>
  </si>
  <si>
    <t>REG ASSET-WV PROV SURCREDIT-CONTRA</t>
  </si>
  <si>
    <t>REG ASSET-BASE REV EQUITY CAR CHG-WV</t>
  </si>
  <si>
    <t>BOOK LEASES CAPITALIZED FOR TAX</t>
  </si>
  <si>
    <t>CAPITALIZED SOFTWARE COST - BOOK</t>
  </si>
  <si>
    <t>LOSS ON REACQUIRED DEBT</t>
  </si>
  <si>
    <t>DEFD SFAS 106 BOOK COSTS</t>
  </si>
  <si>
    <t>SFAS 106-MEDICARE SUBSIDY-(PPACA)-REG ASSET</t>
  </si>
  <si>
    <t>REG ASSET - ACCRUED SFAS 112</t>
  </si>
  <si>
    <t>STATE NOL CURRENT BENEFIT</t>
  </si>
  <si>
    <t>SFAS 109 FLOW-THRU 283.3</t>
  </si>
  <si>
    <t>SFAS 109 EXCESS DFIT 283.4</t>
  </si>
  <si>
    <t>ADIT FED - HEDGE-INTEREST RATE 2830015</t>
  </si>
  <si>
    <t>ADIT FED - HEDGE-FOREIGN EXC 2830016</t>
  </si>
  <si>
    <t>SFAS 133 ADIT FED - SFAS 133 NONAFFIL 2830006</t>
  </si>
  <si>
    <t>SFAS 109 - DEFD STATE INCOME TAXES</t>
  </si>
  <si>
    <t>SEC ALLOC - ITC - 46F1 - 10%</t>
  </si>
  <si>
    <t xml:space="preserve">HYDRO CREDIT - ITC - 46F1 </t>
  </si>
  <si>
    <t>NOL &amp; TAX CREDIT C/F - DEF TAX ASSET</t>
  </si>
  <si>
    <t>INT EXP CAPITALIZED FOR TAX</t>
  </si>
  <si>
    <t xml:space="preserve">CIAC-BOOK RECEIPTS </t>
  </si>
  <si>
    <t>CIAC - BOOK RECEIPTS-DISTR -SV</t>
  </si>
  <si>
    <t>CIAC - BOOK RECEIPTS-TRANS</t>
  </si>
  <si>
    <t>CIAC - BOOK RECEIPTS-DISTR -SW</t>
  </si>
  <si>
    <t>CIAC - MUSSER ACQUISITION</t>
  </si>
  <si>
    <t>SW - OVER RECOVERY FUEL COSTS</t>
  </si>
  <si>
    <t>SV - OVER RECOVERY FUEL COSTS</t>
  </si>
  <si>
    <t>PROVS POSS REV REFDS</t>
  </si>
  <si>
    <t>PROV FOR RATE REFUND-TAX REFORM</t>
  </si>
  <si>
    <t>PROV FOR RATE REFUND-EXCESS PROTECTED</t>
  </si>
  <si>
    <t>SALE/LEASEBK-GRUNDY</t>
  </si>
  <si>
    <t>MTM BK LOSS - A/L - TAX DEFL</t>
  </si>
  <si>
    <t>MARK &amp; SPREAD-DEFL-190-A/L</t>
  </si>
  <si>
    <t>PROV WORKER'S COMP</t>
  </si>
  <si>
    <t>SUPPLEMENTAL EXECUTIVE RETIREMENT PLAN</t>
  </si>
  <si>
    <t>ACCRD SUP EXEC RETIR PLAN COSTS-SFAS 158</t>
  </si>
  <si>
    <t>ACCRD BK SUP. SAVINGS PLAN EXP</t>
  </si>
  <si>
    <t>EMPLOYER SAVINGS PLAN MATCH</t>
  </si>
  <si>
    <t>ACCRUED PSI PLAN EXP</t>
  </si>
  <si>
    <t>STOCK BASED COMP-CAREER SHARES</t>
  </si>
  <si>
    <t>BK PROV UNCOLL ACCTS</t>
  </si>
  <si>
    <t>PROV-TRADING CREDIT RISK - A/L</t>
  </si>
  <si>
    <t>PROV-FAS 157 - A/L</t>
  </si>
  <si>
    <t>ACCRD COMPANY INCENT PLAN-ENGAGE TO GAIN</t>
  </si>
  <si>
    <t>ACCRD COMPANYWIDE INCENTV PLAN</t>
  </si>
  <si>
    <t>ACCRD ENVIRONMENTAL LIAB-CURRENT</t>
  </si>
  <si>
    <t>ACCRUED BOOK VACATION PAY</t>
  </si>
  <si>
    <t>(ICDP)-INCENTIVE COMP DEFERRAL PLAN</t>
  </si>
  <si>
    <t>ACCRUED BK SEVERANCE BENEFITS</t>
  </si>
  <si>
    <t>ACCRUED INTEREST EXPENSE - STATE</t>
  </si>
  <si>
    <t>ACCRUED INTEREST-LONG-TERM - FIN 48</t>
  </si>
  <si>
    <t>ACCRUED INTEREST-SHORT-TERM - FIN 48</t>
  </si>
  <si>
    <t>ACCRUED STATE INCOME TAX EXP</t>
  </si>
  <si>
    <t>BK DFL RAIL TRANS REV/EXP</t>
  </si>
  <si>
    <t>ACCRUED RTO CARRYING CHARGES</t>
  </si>
  <si>
    <t>PROV LOSS-CAR CHG-PURCHASD EMA</t>
  </si>
  <si>
    <t>DEFD EQUITY CARRYING CHRGS-ENVIRON COMP COSTS</t>
  </si>
  <si>
    <t>FEDERAL MITIGATION PROGRAMS</t>
  </si>
  <si>
    <t xml:space="preserve">STATE MITIGATION PROGRAMS </t>
  </si>
  <si>
    <t>DEFD REV-EPRI/MNTR CARBON CAPTURE-L/T</t>
  </si>
  <si>
    <t>DEFD BK CONTRACT REVENUE</t>
  </si>
  <si>
    <t>FK BK WRITE-OFF BLUE RDGE EASE</t>
  </si>
  <si>
    <t>FR BK WRITE-OFF BLUE RDGE EASE</t>
  </si>
  <si>
    <t>SV BK WRITE-OFF BLUE RDGE EASE</t>
  </si>
  <si>
    <t>CV BK WRITE-OFF BLUE RDGE EASE</t>
  </si>
  <si>
    <t>TAX &gt; BOOK BASIS - EMA-A/C 190</t>
  </si>
  <si>
    <t>DEFD TX LOSS-INTERCO SALE-EMA</t>
  </si>
  <si>
    <t>DEFD BOOK GAIN-EPA AUCTION</t>
  </si>
  <si>
    <t>ADVANCE RENTAL INC (CUR MO)</t>
  </si>
  <si>
    <t>DEFERRED BOOK RENTS</t>
  </si>
  <si>
    <t>REG LIAB-UNREAL MTM GAIN-DEFL</t>
  </si>
  <si>
    <t>SECURITIZATION DEFD EQUITY INCOME - LONG-TERM</t>
  </si>
  <si>
    <t>CAPITALIZED SOFTWARE COSTS-TAX</t>
  </si>
  <si>
    <t>CAPITALIZED ADVERTISING EXP-TX</t>
  </si>
  <si>
    <t>ACCRD SFAS 106 PST RETIRE EXP</t>
  </si>
  <si>
    <t>SFAS 106 PST RETIRE EXP - NON-DEDUCT CONT</t>
  </si>
  <si>
    <t>ACCRD OPEB COSTS - SFAS 158</t>
  </si>
  <si>
    <t>ACCRD SFAS 112 PST EMPLOY BEN</t>
  </si>
  <si>
    <t>ACCRD BOOK ARO EXPENSE - SFAS 143</t>
  </si>
  <si>
    <t>ACCRD BK ARO EXP - MTNR CARBON CAPTURE</t>
  </si>
  <si>
    <t>SFAS 106 - MEDICARE SUBSIDY - NORM - (PPACA)</t>
  </si>
  <si>
    <t>GROSS RECEIPTS- TAX EXPENSE</t>
  </si>
  <si>
    <t>ACCRUED BK REMOVAL COST - ACRS</t>
  </si>
  <si>
    <t>FIN 48 - DEFD STATE INCOME TAXES</t>
  </si>
  <si>
    <t>ACCRD SIT/FRANCHISE TAX RESERVE</t>
  </si>
  <si>
    <t>ACCRUED SALES &amp; USE TAX RESERVE</t>
  </si>
  <si>
    <t>ACCRD SIT TX RESERVE-LNG-TERM-FIN 48</t>
  </si>
  <si>
    <t>ACCRD SIT TX RESERVE-SHRT-TERM-FIN 48</t>
  </si>
  <si>
    <t>SFAS 109 - DEFD SIT LIABILITY</t>
  </si>
  <si>
    <t>IRS AUDIT SETTLEMENT</t>
  </si>
  <si>
    <t>1985-1987 IRS AUDIT SETTLEMENT</t>
  </si>
  <si>
    <t>1991-1996 IRS AUDIT SETTLEMENT</t>
  </si>
  <si>
    <t>1997-2003 IRS AUDIT SETTLEMENT</t>
  </si>
  <si>
    <t>2007 IRS AUDIT ADJUSTMENTS - A/C 190</t>
  </si>
  <si>
    <t>IRS CAPITALIZATION ADJUSTMENT</t>
  </si>
  <si>
    <t>AMT CREDIT - DEFERRED</t>
  </si>
  <si>
    <t>REHAB CREDIT - DEFD TAX ASSET RECLASS</t>
  </si>
  <si>
    <t>RESTRICTED STOCK PLAN</t>
  </si>
  <si>
    <t>PSI - STOCK BASED COMP</t>
  </si>
  <si>
    <t>SFAS 109 FLOW-THRU 190.3</t>
  </si>
  <si>
    <t>SFAS 109 EXCESS DFIT 190.4</t>
  </si>
  <si>
    <t>SFAS 133 ADIT FED - SFAS NONAFFIL 1900006</t>
  </si>
  <si>
    <t>ADIT FED - PENSION OCI NAF 1900009</t>
  </si>
  <si>
    <t>ADIT FED - PENSION OCI  1900010</t>
  </si>
  <si>
    <t>ADIT FED - NON-UMWA PRW OCI 1900011</t>
  </si>
  <si>
    <t>ADIT FED - UMWA PRW OCI 1900012</t>
  </si>
  <si>
    <t>ADIT FED - HEDGE-INTEREST RATE 1900015</t>
  </si>
  <si>
    <t>ADIT FED - HEDGE-FOREIGN EXC 1900016</t>
  </si>
  <si>
    <t>NON-UTILITY DEFERRED SIT  1902002</t>
  </si>
  <si>
    <t>DEFERRED SIT  1901002</t>
  </si>
  <si>
    <t>Total Other Jurisdictions:  (Line 6 * Net Plant Allocator)</t>
  </si>
  <si>
    <t>TENNESSEE JURISDICTION</t>
  </si>
  <si>
    <t>Rate Case Amort</t>
  </si>
  <si>
    <t>BOOK OPERATING LEASE - ASSET</t>
  </si>
  <si>
    <t>BOOK OPERATING LEASE - LIAB</t>
  </si>
  <si>
    <t>TAX DEPRECIATION LOOKBACK</t>
  </si>
  <si>
    <t xml:space="preserve"> GENERAL PLANT</t>
  </si>
  <si>
    <t>Transportation Equipment</t>
  </si>
  <si>
    <t>Power Operated Equipment</t>
  </si>
  <si>
    <t>APPALACHAIN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</si>
  <si>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</si>
  <si>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</si>
  <si>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</si>
  <si>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</si>
  <si>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</si>
  <si>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</si>
  <si>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</si>
  <si>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</si>
  <si>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</si>
  <si>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</si>
  <si>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</si>
  <si>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</si>
  <si>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</si>
  <si>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Amotization Period</t>
  </si>
  <si>
    <t>Excess ADIT Regulatory  Offset</t>
  </si>
  <si>
    <t>Excess ADIT in Utility Deferrals</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</si>
  <si>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</si>
  <si>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</si>
  <si>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</si>
  <si>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</si>
  <si>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</si>
  <si>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</si>
  <si>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</si>
  <si>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</si>
  <si>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</si>
  <si>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</si>
  <si>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</si>
  <si>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</si>
  <si>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</si>
  <si>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</si>
  <si>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</si>
  <si>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</si>
  <si>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</si>
  <si>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</si>
  <si>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</si>
  <si>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</si>
  <si>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</si>
  <si>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</si>
  <si>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</si>
  <si>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</si>
  <si>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</si>
  <si>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</si>
  <si>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</si>
  <si>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</si>
  <si>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</si>
  <si>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</si>
  <si>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</si>
  <si>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</si>
  <si>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</si>
  <si>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</si>
  <si>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</si>
  <si>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</si>
  <si>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</si>
  <si>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</si>
  <si>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</si>
  <si>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</si>
  <si>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</si>
  <si>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</si>
  <si>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</si>
  <si>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FERC Form 1 p. 278 Ln. 3 Cols, (b) /(f)</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</si>
  <si>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</si>
  <si>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</si>
  <si>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</si>
  <si>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</si>
  <si>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</si>
  <si>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</si>
  <si>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</si>
  <si>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</si>
  <si>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</si>
  <si>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</si>
  <si>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</si>
  <si>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</si>
  <si>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</si>
  <si>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</si>
  <si>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</si>
  <si>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</si>
  <si>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</si>
  <si>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in both the Total Company and Transmission Funcational sections above as required to reflect  any new ADIT or regulatory deferral accounts that may be necessary to track that tax rate change.</t>
  </si>
  <si>
    <t>NOTE E:</t>
  </si>
  <si>
    <t>Excess Balance at Remeasurement (NOTE C)</t>
  </si>
  <si>
    <t>Amortization Methodology (NOTE D)</t>
  </si>
  <si>
    <t xml:space="preserve">410/411
Excess Amortization </t>
  </si>
  <si>
    <t>NOTE E</t>
  </si>
  <si>
    <t>Total For Accounting Entires (Sum of Lines 1a through 2b)</t>
  </si>
  <si>
    <t>NOTE F</t>
  </si>
  <si>
    <t>Total For Accounting Entires (Sum of Lines 4a through 5b)</t>
  </si>
  <si>
    <t>GENERAL NOTE:  ADIT Tax balances provided in the formula presented in Attachment H-14B are maintained on both a total company and transmission functional basis. Because both sets of numbers are presented in the formual, the information for excess and deficient ADIT is also presented for both total company and the transmission function on this worksheet.  Account 281 only applies to the generation function, so is not presented in the transmission functional summary.</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</si>
  <si>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recored in the "4" accounts will be offset on a net basis in  the regulatory asset or liability subaccount established for this purpose. </t>
  </si>
  <si>
    <t>The amounts of the remeasurement shown here are as of the effective date of the change in tax rates and will remain static on this workpaper.</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</si>
  <si>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</si>
  <si>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</si>
  <si>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Prepayed Taxes - Dist</t>
  </si>
  <si>
    <t>pg. 263.2, ln. 21</t>
  </si>
  <si>
    <t>pg. 263, ln. 22</t>
  </si>
  <si>
    <t>pg. 263, ln. 27</t>
  </si>
  <si>
    <t>pg. 263.3, ln. 14</t>
  </si>
  <si>
    <t>RTEP ID: b2423 Install a 300 MVAR shunt reactor at AEP's Wyoming 765 kV station.</t>
  </si>
  <si>
    <t>EFFECTIVE AS OF 3/1/2019</t>
  </si>
  <si>
    <t>EFFECTIVE AS OF 4/1/2012</t>
  </si>
  <si>
    <t>CR Audit</t>
  </si>
  <si>
    <t>WS B - 1, Col B/C, ADIT Item 2.06</t>
  </si>
  <si>
    <t>2018 Forecasted Revenue Requirement For Year 2018</t>
  </si>
  <si>
    <t>An over or under collection will be recovered prorata over 2018, held for 2019 and returned prorate over 2020</t>
  </si>
  <si>
    <t>BOOK LEASES DEFERRED</t>
  </si>
  <si>
    <t>FICA - NON-CUURENT</t>
  </si>
  <si>
    <t>BK ACCRL- COOK CT RENT HOLIDAY</t>
  </si>
  <si>
    <t>INSURANCE PREMIUMS ACCRUED</t>
  </si>
  <si>
    <t>ACCRUED COVID-19 INCREMENTAL COSTS NON-TX</t>
  </si>
  <si>
    <t>REG ASSET-GreenHat Settlement</t>
  </si>
  <si>
    <t>REG ASSET-Deferred Carrying Charge Offset</t>
  </si>
  <si>
    <t>REG ASSET-Glen Lyn ARO</t>
  </si>
  <si>
    <t>REG ASSET-Va Retired Coal Plants-Unamort</t>
  </si>
  <si>
    <t>REG ASSET-Depr Exp Deferral - VA</t>
  </si>
  <si>
    <t>REG ASSET-ENERGY EFFICIENCY RECOVERY</t>
  </si>
  <si>
    <t>REG ASSET-VA EE RAC C&amp;I LIGHTING</t>
  </si>
  <si>
    <t>REG ASSET-APCo Broadband Capacity Pilot</t>
  </si>
  <si>
    <t xml:space="preserve">REG ASSET-VA Major Storm Exp Def  </t>
  </si>
  <si>
    <t>SellingPrice Normalization Exp</t>
  </si>
  <si>
    <t>pg. 263.1, ln. 4</t>
  </si>
  <si>
    <t>pg. 263, ln. 24</t>
  </si>
  <si>
    <t>pg. 263, ln. 23</t>
  </si>
  <si>
    <t>pg. 263, ln. 28</t>
  </si>
  <si>
    <t>pg. 263.1, Ln. 6</t>
  </si>
  <si>
    <t>pg. 263.1, Ln. 7</t>
  </si>
  <si>
    <t>pg. 263.1, Ln. 8</t>
  </si>
  <si>
    <t>pg. 263.1, ln. 20</t>
  </si>
  <si>
    <t>pg. 263.1, ln. 21</t>
  </si>
  <si>
    <t>pg. 263.1, ln. 22</t>
  </si>
  <si>
    <t>pg. 263.1, ln. 23</t>
  </si>
  <si>
    <t>pg. 263.1, ln. 24</t>
  </si>
  <si>
    <t>pg. 263.1, ln. 25</t>
  </si>
  <si>
    <t>pg. 263.1, ln. 26</t>
  </si>
  <si>
    <t>pg. 263.1, ln. 27</t>
  </si>
  <si>
    <t>pg. 263.1, ln. 29</t>
  </si>
  <si>
    <t>pg. 263.2, ln. 2</t>
  </si>
  <si>
    <t>pg. 263, ln. 5</t>
  </si>
  <si>
    <t>pg. 263.1, ln. 30</t>
  </si>
  <si>
    <t>pg. 263.2, ln. 10</t>
  </si>
  <si>
    <t>pg. 263, ln. 13</t>
  </si>
  <si>
    <t>pg. 263, ln. 14</t>
  </si>
  <si>
    <t>pg. 263, ln. 31</t>
  </si>
  <si>
    <t>pg. 263, ln. 16</t>
  </si>
  <si>
    <t>pg. 263, ln. 17</t>
  </si>
  <si>
    <t>pg. 263.1, ln. 39</t>
  </si>
  <si>
    <t>pg. 263.1, ln. 40</t>
  </si>
  <si>
    <t>pg. 263.2, ln. 22</t>
  </si>
  <si>
    <t>pg. 263.3, ln. 13</t>
  </si>
  <si>
    <t>pg. 263.1, ln. 19</t>
  </si>
  <si>
    <t>pg. 263.1, ln. 18</t>
  </si>
  <si>
    <t>pg. 263.2, ln. 16</t>
  </si>
  <si>
    <t>pg. 263.1, ln. 12</t>
  </si>
  <si>
    <t>pg. 263.1, ln. 3</t>
  </si>
  <si>
    <t>pg. 263.1, ln. 2</t>
  </si>
  <si>
    <t>9280003</t>
  </si>
  <si>
    <t>WS B - 2 Col B/C, ADIT item 2.91</t>
  </si>
  <si>
    <t>1/1/2020 Beginning  Balances</t>
  </si>
  <si>
    <t>12/31/2020 Ending Balance</t>
  </si>
  <si>
    <t>For Year Ended December 31, 2020</t>
  </si>
  <si>
    <t>282 EXCESS ADJUSTMENT</t>
  </si>
  <si>
    <t>WS B - 1 Cols M+N+O , ADIT Item 5.47</t>
  </si>
  <si>
    <t>WS B - 1 Col B/C, ADIT Item 5.50</t>
  </si>
  <si>
    <t>WS B - 1 Col C, Items 10.04</t>
  </si>
  <si>
    <t>WS B - 1 Col C/D, Item 10.07</t>
  </si>
  <si>
    <t>WS B-1, Col N, ADIT 5.47</t>
  </si>
  <si>
    <t>WS B-1,  Col N, item 10.04</t>
  </si>
  <si>
    <t>pg. 263.3, ln. 24</t>
  </si>
  <si>
    <t>EFFECTIVE AS OF 1/1/2020</t>
  </si>
  <si>
    <t>MICHIGAN AND FERC</t>
  </si>
  <si>
    <t>$0 at Dec 2018 - use old rate</t>
  </si>
  <si>
    <t xml:space="preserve">  (1) As approved in VA Case No. PUE 2020-00015 on Nov. 24, 2020</t>
  </si>
  <si>
    <t xml:space="preserve">        Depreciation rates were made effective on January 1, 2020.</t>
  </si>
  <si>
    <t xml:space="preserve"> (2)  Approved by PSC of WV Order dated 2/27/2019 in</t>
  </si>
  <si>
    <t xml:space="preserve">        Case No. 18-0645-E-D effective 03/06/2019.</t>
  </si>
  <si>
    <t>Approved by FERC March 2, 1990 in Docket ER90-132</t>
  </si>
  <si>
    <t>Approved by FERC March 2, 1990 in Docket ER90-133</t>
  </si>
  <si>
    <t>Distribution Plant (recorded by state) is assigned only to</t>
  </si>
  <si>
    <t>jurisdictions within each state.</t>
  </si>
  <si>
    <t>53c</t>
  </si>
  <si>
    <t>Accm Prv I/D - Asbestos - Curr</t>
  </si>
  <si>
    <t>Accm Prv I/D - Asbestos</t>
  </si>
  <si>
    <t>2282011</t>
  </si>
  <si>
    <t>2282012</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</si>
  <si>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</si>
  <si>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</si>
  <si>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</si>
  <si>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MARCH 11,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</si>
</sst>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0.000000"/>
    <numFmt numFmtId="178" formatCode="_(* #,##0.0000_);_(* \(#,##0.0000\);_(* &quot;-&quot;_);_(@_)"/>
    <numFmt numFmtId="179" formatCode="_(* #,##0.00000_);_(* \(#,##0.00000\);_(* &quot;-&quot;_);_(@_)"/>
    <numFmt numFmtId="180" formatCode="_(* #,##0.00000_);_(* \(#,##0.00000\);_(* &quot;-&quot;??_);_(@_)"/>
    <numFmt numFmtId="181" formatCode="#,##0.0000000"/>
    <numFmt numFmtId="182" formatCode="_(* #,##0.0000000_);_(* \(#,##0.0000000\);_(* &quot;-&quot;_);_(@_)"/>
    <numFmt numFmtId="183" formatCode="#,##0\ ;\(#,##0\)"/>
    <numFmt numFmtId="184" formatCode="_(* #,##0.0000_);_(* \(#,##0.0000\);_(* &quot;-&quot;??_);_(@_)"/>
    <numFmt numFmtId="185" formatCode="_(* #,##0.000_);_(* \(#,##0.000\);_(* &quot;-&quot;_);_(@_)"/>
    <numFmt numFmtId="186" formatCode="#,##0.000000"/>
    <numFmt numFmtId="187" formatCode="mmmm\ d\,\ yyyy"/>
    <numFmt numFmtId="188" formatCode="m/d/yy;@"/>
    <numFmt numFmtId="189" formatCode="0.000"/>
    <numFmt numFmtId="190" formatCode="0.000000_)"/>
    <numFmt numFmtId="191" formatCode="#,##0.000000_);\(#,##0.000000\)"/>
    <numFmt numFmtId="192" formatCode="0_);\(0\)"/>
    <numFmt numFmtId="193" formatCode="0.0"/>
    <numFmt numFmtId="194" formatCode="&quot;$&quot;#,##0.0000"/>
    <numFmt numFmtId="195" formatCode="[$-409]mmm\-yy;@"/>
    <numFmt numFmtId="196" formatCode="#,##0_);[Red]\(#,##0\);&quot; &quot;"/>
    <numFmt numFmtId="197" formatCode="_(* #,##0.00_);_(* \(#,##0.00\);_(* &quot;-&quot;_);_(@_)"/>
    <numFmt numFmtId="198" formatCode="#,##0.00000000000000"/>
  </numFmts>
  <fonts count="171">
    <font>
      <sz val="10"/>
      <name val="Arial"/>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b/>
      <sz val="10"/>
      <color indexed="10"/>
      <name val="Arial Narrow"/>
      <family val="2"/>
    </font>
    <font>
      <b/>
      <u/>
      <sz val="14"/>
      <name val="Arial"/>
      <family val="2"/>
    </font>
    <font>
      <u/>
      <sz val="12"/>
      <name val="Arial MT"/>
    </font>
    <font>
      <u/>
      <sz val="12"/>
      <name val="Times New Roman"/>
      <family val="1"/>
    </font>
    <font>
      <sz val="10"/>
      <color indexed="12"/>
      <name val="Times New Roman"/>
      <family val="1"/>
    </font>
    <font>
      <u val="singleAccounting"/>
      <sz val="10"/>
      <name val="Arial"/>
      <family val="2"/>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b/>
      <strike/>
      <sz val="12"/>
      <color indexed="10"/>
      <name val="Arial"/>
      <family val="2"/>
    </font>
    <font>
      <sz val="10"/>
      <name val="Arial"/>
      <family val="2"/>
    </font>
    <font>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1"/>
      <color indexed="8"/>
      <name val="Calibri"/>
      <family val="2"/>
    </font>
    <font>
      <sz val="10"/>
      <color indexed="12"/>
      <name val="Arial"/>
      <family val="2"/>
    </font>
    <font>
      <sz val="8"/>
      <color indexed="8"/>
      <name val="Calibri"/>
      <family val="2"/>
    </font>
    <font>
      <sz val="10"/>
      <color indexed="10"/>
      <name val="Arial"/>
      <family val="2"/>
    </font>
    <font>
      <strike/>
      <sz val="12"/>
      <color indexed="10"/>
      <name val="Cambria"/>
      <family val="1"/>
    </font>
    <font>
      <sz val="12"/>
      <color indexed="10"/>
      <name val="Arial"/>
      <family val="2"/>
    </font>
    <font>
      <b/>
      <sz val="10"/>
      <color indexed="10"/>
      <name val="Arial"/>
      <family val="2"/>
    </font>
    <font>
      <sz val="14"/>
      <color indexed="10"/>
      <name val="Arial"/>
      <family val="2"/>
    </font>
    <font>
      <b/>
      <sz val="14"/>
      <color indexed="10"/>
      <name val="Arial"/>
      <family val="2"/>
    </font>
    <font>
      <sz val="10"/>
      <color indexed="12"/>
      <name val="Calibri"/>
      <family val="2"/>
    </font>
    <font>
      <sz val="12"/>
      <color indexed="8"/>
      <name val="Arial"/>
      <family val="2"/>
    </font>
    <font>
      <sz val="12"/>
      <color indexed="23"/>
      <name val="Arial"/>
      <family val="2"/>
    </font>
    <font>
      <sz val="12"/>
      <color indexed="9"/>
      <name val="Arial"/>
      <family val="2"/>
    </font>
    <font>
      <sz val="11"/>
      <color theme="1"/>
      <name val="Calibri"/>
      <family val="2"/>
      <scheme val="minor"/>
    </font>
    <font>
      <sz val="11"/>
      <color theme="1"/>
      <name val="Calibri"/>
      <family val="2"/>
    </font>
    <font>
      <sz val="12"/>
      <name val="Arial MT"/>
      <family val="2"/>
    </font>
    <font>
      <sz val="9"/>
      <color rgb="FFFF0000"/>
      <name val="Arial"/>
      <family val="2"/>
    </font>
    <font>
      <sz val="9"/>
      <name val="Arial MT"/>
      <family val="2"/>
    </font>
    <font>
      <i/>
      <sz val="9"/>
      <name val="Arial"/>
      <family val="2"/>
    </font>
    <font>
      <sz val="10"/>
      <color theme="1"/>
      <name val="Arial"/>
      <family val="2"/>
    </font>
    <font>
      <i/>
      <sz val="12"/>
      <name val="Arial MT"/>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indexed="13"/>
        <bgColor indexed="64"/>
      </patternFill>
    </fill>
    <fill>
      <patternFill patternType="solid">
        <fgColor indexed="23"/>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92D050"/>
        <bgColor indexed="64"/>
      </patternFill>
    </fill>
  </fills>
  <borders count="5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double">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s>
  <cellStyleXfs count="368">
    <xf numFmtId="0" fontId="0" fillId="0" borderId="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172" fontId="39" fillId="0" borderId="0" applyFill="0"/>
    <xf numFmtId="172" fontId="39" fillId="0" borderId="0">
      <alignment horizontal="center"/>
    </xf>
    <xf numFmtId="0" fontId="39" fillId="0" borderId="0" applyFill="0">
      <alignment horizontal="center"/>
    </xf>
    <xf numFmtId="172" fontId="5" fillId="0" borderId="1" applyFill="0"/>
    <xf numFmtId="0" fontId="13" fillId="0" borderId="0" applyFont="0" applyAlignment="0"/>
    <xf numFmtId="0" fontId="40" fillId="0" borderId="0" applyFill="0">
      <alignment vertical="top"/>
    </xf>
    <xf numFmtId="0" fontId="5" fillId="0" borderId="0" applyFill="0">
      <alignment horizontal="left" vertical="top"/>
    </xf>
    <xf numFmtId="172" fontId="7" fillId="0" borderId="2" applyFill="0"/>
    <xf numFmtId="0" fontId="13" fillId="0" borderId="0" applyNumberFormat="0" applyFont="0" applyAlignment="0"/>
    <xf numFmtId="0" fontId="40" fillId="0" borderId="0" applyFill="0">
      <alignment wrapText="1"/>
    </xf>
    <xf numFmtId="0" fontId="5" fillId="0" borderId="0" applyFill="0">
      <alignment horizontal="left" vertical="top" wrapText="1"/>
    </xf>
    <xf numFmtId="172" fontId="41" fillId="0" borderId="0" applyFill="0"/>
    <xf numFmtId="0" fontId="42" fillId="0" borderId="0" applyNumberFormat="0" applyFont="0" applyAlignment="0">
      <alignment horizontal="center"/>
    </xf>
    <xf numFmtId="0" fontId="43" fillId="0" borderId="0" applyFill="0">
      <alignment vertical="top" wrapText="1"/>
    </xf>
    <xf numFmtId="0" fontId="7" fillId="0" borderId="0" applyFill="0">
      <alignment horizontal="left" vertical="top" wrapText="1"/>
    </xf>
    <xf numFmtId="172" fontId="13" fillId="0" borderId="0" applyFill="0"/>
    <xf numFmtId="0" fontId="42" fillId="0" borderId="0" applyNumberFormat="0" applyFont="0" applyAlignment="0">
      <alignment horizontal="center"/>
    </xf>
    <xf numFmtId="0" fontId="29" fillId="0" borderId="0" applyFill="0">
      <alignment vertical="center" wrapText="1"/>
    </xf>
    <xf numFmtId="0" fontId="6" fillId="0" borderId="0">
      <alignment horizontal="left" vertical="center" wrapText="1"/>
    </xf>
    <xf numFmtId="172" fontId="25" fillId="0" borderId="0" applyFill="0"/>
    <xf numFmtId="0" fontId="42" fillId="0" borderId="0" applyNumberFormat="0" applyFont="0" applyAlignment="0">
      <alignment horizontal="center"/>
    </xf>
    <xf numFmtId="0" fontId="17" fillId="0" borderId="0" applyFill="0">
      <alignment horizontal="center" vertical="center" wrapText="1"/>
    </xf>
    <xf numFmtId="0" fontId="13" fillId="0" borderId="0" applyFill="0">
      <alignment horizontal="center" vertical="center" wrapText="1"/>
    </xf>
    <xf numFmtId="172" fontId="44" fillId="0" borderId="0" applyFill="0"/>
    <xf numFmtId="0" fontId="42" fillId="0" borderId="0" applyNumberFormat="0" applyFont="0" applyAlignment="0">
      <alignment horizontal="center"/>
    </xf>
    <xf numFmtId="0" fontId="45" fillId="0" borderId="0" applyFill="0">
      <alignment horizontal="center" vertical="center" wrapText="1"/>
    </xf>
    <xf numFmtId="0" fontId="46" fillId="0" borderId="0" applyFill="0">
      <alignment horizontal="center" vertical="center" wrapText="1"/>
    </xf>
    <xf numFmtId="172" fontId="47" fillId="0" borderId="0" applyFill="0"/>
    <xf numFmtId="0" fontId="42" fillId="0" borderId="0" applyNumberFormat="0" applyFont="0" applyAlignment="0">
      <alignment horizontal="center"/>
    </xf>
    <xf numFmtId="0" fontId="48" fillId="0" borderId="0">
      <alignment horizontal="center" wrapText="1"/>
    </xf>
    <xf numFmtId="0" fontId="44" fillId="0" borderId="0" applyFill="0">
      <alignment horizontal="center" wrapText="1"/>
    </xf>
    <xf numFmtId="0" fontId="49" fillId="20" borderId="3" applyNumberFormat="0" applyAlignment="0" applyProtection="0"/>
    <xf numFmtId="0" fontId="49" fillId="20" borderId="3" applyNumberFormat="0" applyAlignment="0" applyProtection="0"/>
    <xf numFmtId="0" fontId="50" fillId="21" borderId="4" applyNumberFormat="0" applyAlignment="0" applyProtection="0"/>
    <xf numFmtId="0" fontId="50" fillId="21" borderId="4" applyNumberFormat="0" applyAlignment="0" applyProtection="0"/>
    <xf numFmtId="43" fontId="3" fillId="0" borderId="0" applyFont="0" applyFill="0" applyBorder="0" applyAlignment="0" applyProtection="0"/>
    <xf numFmtId="43" fontId="148" fillId="0" borderId="0" applyFont="0" applyFill="0" applyBorder="0" applyAlignment="0" applyProtection="0"/>
    <xf numFmtId="43" fontId="15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48" fillId="0" borderId="0" applyFont="0" applyFill="0" applyBorder="0" applyAlignment="0" applyProtection="0"/>
    <xf numFmtId="43" fontId="13" fillId="0" borderId="0" applyFont="0" applyFill="0" applyBorder="0" applyAlignment="0" applyProtection="0"/>
    <xf numFmtId="43" fontId="1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0" fillId="0" borderId="0" applyFont="0" applyFill="0" applyBorder="0" applyAlignment="0" applyProtection="0"/>
    <xf numFmtId="43" fontId="13" fillId="0" borderId="0" applyFont="0" applyFill="0" applyBorder="0" applyAlignment="0" applyProtection="0"/>
    <xf numFmtId="43" fontId="13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8" fillId="0" borderId="0" applyFont="0" applyFill="0" applyBorder="0" applyAlignment="0" applyProtection="0"/>
    <xf numFmtId="43" fontId="13" fillId="0" borderId="0" applyFont="0" applyFill="0" applyBorder="0" applyAlignment="0" applyProtection="0"/>
    <xf numFmtId="43" fontId="150" fillId="0" borderId="0" applyFont="0" applyFill="0" applyBorder="0" applyAlignment="0" applyProtection="0"/>
    <xf numFmtId="43" fontId="13" fillId="0" borderId="0" applyFont="0" applyFill="0" applyBorder="0" applyAlignment="0" applyProtection="0"/>
    <xf numFmtId="43" fontId="130" fillId="0" borderId="0" applyFont="0" applyFill="0" applyBorder="0" applyAlignment="0" applyProtection="0"/>
    <xf numFmtId="43" fontId="13" fillId="0" borderId="0" applyFont="0" applyFill="0" applyBorder="0" applyAlignment="0" applyProtection="0"/>
    <xf numFmtId="43" fontId="150" fillId="0" borderId="0" applyFont="0" applyFill="0" applyBorder="0" applyAlignment="0" applyProtection="0"/>
    <xf numFmtId="43" fontId="13" fillId="0" borderId="0" applyFont="0" applyFill="0" applyBorder="0" applyAlignment="0" applyProtection="0"/>
    <xf numFmtId="43" fontId="150" fillId="0" borderId="0" applyFont="0" applyFill="0" applyBorder="0" applyAlignment="0" applyProtection="0"/>
    <xf numFmtId="43" fontId="13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8" fillId="0" borderId="0" applyFont="0" applyFill="0" applyBorder="0" applyAlignment="0" applyProtection="0"/>
    <xf numFmtId="43" fontId="3" fillId="0" borderId="0" applyFont="0" applyFill="0" applyBorder="0" applyAlignment="0" applyProtection="0"/>
    <xf numFmtId="3"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8" fillId="0" borderId="0" applyFont="0" applyFill="0" applyBorder="0" applyAlignment="0" applyProtection="0"/>
    <xf numFmtId="44" fontId="148" fillId="0" borderId="0" applyFont="0" applyFill="0" applyBorder="0" applyAlignment="0" applyProtection="0"/>
    <xf numFmtId="44" fontId="150" fillId="0" borderId="0" applyFont="0" applyFill="0" applyBorder="0" applyAlignment="0" applyProtection="0"/>
    <xf numFmtId="44" fontId="13" fillId="0" borderId="0" applyFont="0" applyFill="0" applyBorder="0" applyAlignment="0" applyProtection="0"/>
    <xf numFmtId="44" fontId="130" fillId="0" borderId="0" applyFont="0" applyFill="0" applyBorder="0" applyAlignment="0" applyProtection="0"/>
    <xf numFmtId="44" fontId="13" fillId="0" borderId="0" applyFont="0" applyFill="0" applyBorder="0" applyAlignment="0" applyProtection="0"/>
    <xf numFmtId="44" fontId="150" fillId="0" borderId="0" applyFont="0" applyFill="0" applyBorder="0" applyAlignment="0" applyProtection="0"/>
    <xf numFmtId="44" fontId="13" fillId="0" borderId="0" applyFont="0" applyFill="0" applyBorder="0" applyAlignment="0" applyProtection="0"/>
    <xf numFmtId="44" fontId="148" fillId="0" borderId="0" applyFont="0" applyFill="0" applyBorder="0" applyAlignment="0" applyProtection="0"/>
    <xf numFmtId="44" fontId="148" fillId="0" borderId="0" applyFont="0" applyFill="0" applyBorder="0" applyAlignment="0" applyProtection="0"/>
    <xf numFmtId="5" fontId="13" fillId="0" borderId="0" applyFont="0" applyFill="0" applyBorder="0" applyAlignment="0" applyProtection="0"/>
    <xf numFmtId="14" fontId="13"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2" fontId="13" fillId="0" borderId="0" applyFont="0" applyFill="0" applyBorder="0" applyAlignment="0" applyProtection="0"/>
    <xf numFmtId="0" fontId="52" fillId="4" borderId="0" applyNumberFormat="0" applyBorder="0" applyAlignment="0" applyProtection="0"/>
    <xf numFmtId="0" fontId="52" fillId="4" borderId="0" applyNumberFormat="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3" fillId="0" borderId="5"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6"/>
    <xf numFmtId="0" fontId="55" fillId="0" borderId="0"/>
    <xf numFmtId="0" fontId="56" fillId="7" borderId="3" applyNumberFormat="0" applyAlignment="0" applyProtection="0"/>
    <xf numFmtId="0" fontId="56" fillId="7" borderId="3" applyNumberFormat="0" applyAlignment="0" applyProtection="0"/>
    <xf numFmtId="0" fontId="57" fillId="0" borderId="7" applyNumberFormat="0" applyFill="0" applyAlignment="0" applyProtection="0"/>
    <xf numFmtId="0" fontId="57" fillId="0" borderId="7" applyNumberFormat="0" applyFill="0" applyAlignment="0" applyProtection="0"/>
    <xf numFmtId="0" fontId="58" fillId="22" borderId="0" applyNumberFormat="0" applyBorder="0" applyAlignment="0" applyProtection="0"/>
    <xf numFmtId="0" fontId="58" fillId="22" borderId="0" applyNumberFormat="0" applyBorder="0" applyAlignment="0" applyProtection="0"/>
    <xf numFmtId="3" fontId="125" fillId="0" borderId="0"/>
    <xf numFmtId="3" fontId="13" fillId="0" borderId="0"/>
    <xf numFmtId="3" fontId="13" fillId="0" borderId="0"/>
    <xf numFmtId="3" fontId="125" fillId="0" borderId="0"/>
    <xf numFmtId="0" fontId="13" fillId="0" borderId="0"/>
    <xf numFmtId="3" fontId="13" fillId="0" borderId="0"/>
    <xf numFmtId="3" fontId="125" fillId="0" borderId="0"/>
    <xf numFmtId="3" fontId="13" fillId="0" borderId="0"/>
    <xf numFmtId="0" fontId="163" fillId="0" borderId="0"/>
    <xf numFmtId="3" fontId="125" fillId="0" borderId="0"/>
    <xf numFmtId="3" fontId="13" fillId="0" borderId="0"/>
    <xf numFmtId="3" fontId="125" fillId="0" borderId="0"/>
    <xf numFmtId="3" fontId="13" fillId="0" borderId="0"/>
    <xf numFmtId="0" fontId="13" fillId="0" borderId="0"/>
    <xf numFmtId="3" fontId="125" fillId="0" borderId="0"/>
    <xf numFmtId="3" fontId="13" fillId="0" borderId="0"/>
    <xf numFmtId="3" fontId="125" fillId="0" borderId="0"/>
    <xf numFmtId="3" fontId="13" fillId="0" borderId="0"/>
    <xf numFmtId="3" fontId="125" fillId="0" borderId="0"/>
    <xf numFmtId="3" fontId="13" fillId="0" borderId="0"/>
    <xf numFmtId="3" fontId="126" fillId="0" borderId="0"/>
    <xf numFmtId="3" fontId="13" fillId="0" borderId="0"/>
    <xf numFmtId="0" fontId="13" fillId="0" borderId="0"/>
    <xf numFmtId="0" fontId="124" fillId="0" borderId="0"/>
    <xf numFmtId="0" fontId="164" fillId="0" borderId="0"/>
    <xf numFmtId="0" fontId="13" fillId="0" borderId="0"/>
    <xf numFmtId="0" fontId="13" fillId="0" borderId="0"/>
    <xf numFmtId="0" fontId="164" fillId="0" borderId="0"/>
    <xf numFmtId="0" fontId="148" fillId="0" borderId="0"/>
    <xf numFmtId="0" fontId="13" fillId="0" borderId="0"/>
    <xf numFmtId="0" fontId="13" fillId="0" borderId="0"/>
    <xf numFmtId="3" fontId="126" fillId="0" borderId="0"/>
    <xf numFmtId="3" fontId="13" fillId="0" borderId="0"/>
    <xf numFmtId="3" fontId="126" fillId="0" borderId="0"/>
    <xf numFmtId="3" fontId="13" fillId="0" borderId="0"/>
    <xf numFmtId="3" fontId="126" fillId="0" borderId="0"/>
    <xf numFmtId="3" fontId="13" fillId="0" borderId="0"/>
    <xf numFmtId="3" fontId="126" fillId="0" borderId="0"/>
    <xf numFmtId="3" fontId="13" fillId="0" borderId="0"/>
    <xf numFmtId="3" fontId="126" fillId="0" borderId="0"/>
    <xf numFmtId="3" fontId="13" fillId="0" borderId="0"/>
    <xf numFmtId="3" fontId="126" fillId="0" borderId="0"/>
    <xf numFmtId="3" fontId="13" fillId="0" borderId="0"/>
    <xf numFmtId="3" fontId="126" fillId="0" borderId="0"/>
    <xf numFmtId="3" fontId="13" fillId="0" borderId="0"/>
    <xf numFmtId="3" fontId="13" fillId="0" borderId="0"/>
    <xf numFmtId="3" fontId="132" fillId="0" borderId="0"/>
    <xf numFmtId="3" fontId="13" fillId="0" borderId="0"/>
    <xf numFmtId="3" fontId="132" fillId="0" borderId="0"/>
    <xf numFmtId="3" fontId="13" fillId="0" borderId="0"/>
    <xf numFmtId="0" fontId="13" fillId="0" borderId="0"/>
    <xf numFmtId="0" fontId="13" fillId="0" borderId="0"/>
    <xf numFmtId="3" fontId="13" fillId="0" borderId="0"/>
    <xf numFmtId="0" fontId="13" fillId="0" borderId="0"/>
    <xf numFmtId="3" fontId="13" fillId="0" borderId="0"/>
    <xf numFmtId="0" fontId="3" fillId="0" borderId="0"/>
    <xf numFmtId="0" fontId="148" fillId="0" borderId="0"/>
    <xf numFmtId="0" fontId="13" fillId="0" borderId="0"/>
    <xf numFmtId="0" fontId="125" fillId="0" borderId="0"/>
    <xf numFmtId="0" fontId="13" fillId="0" borderId="0"/>
    <xf numFmtId="0" fontId="13" fillId="0" borderId="0"/>
    <xf numFmtId="0" fontId="126" fillId="0" borderId="0"/>
    <xf numFmtId="0" fontId="13" fillId="0" borderId="0"/>
    <xf numFmtId="0" fontId="13" fillId="0" borderId="0"/>
    <xf numFmtId="0" fontId="13" fillId="0" borderId="0"/>
    <xf numFmtId="0" fontId="130" fillId="0" borderId="0"/>
    <xf numFmtId="0" fontId="13" fillId="0" borderId="0"/>
    <xf numFmtId="0" fontId="132" fillId="0" borderId="0"/>
    <xf numFmtId="0" fontId="13" fillId="0" borderId="0"/>
    <xf numFmtId="0" fontId="13" fillId="0" borderId="0"/>
    <xf numFmtId="0" fontId="148" fillId="0" borderId="0"/>
    <xf numFmtId="0" fontId="13" fillId="0" borderId="0"/>
    <xf numFmtId="3" fontId="118" fillId="0" borderId="0"/>
    <xf numFmtId="3" fontId="13" fillId="0" borderId="0"/>
    <xf numFmtId="0" fontId="13" fillId="0" borderId="0"/>
    <xf numFmtId="3" fontId="13" fillId="0" borderId="0"/>
    <xf numFmtId="0" fontId="13" fillId="0" borderId="0"/>
    <xf numFmtId="0" fontId="163" fillId="0" borderId="0"/>
    <xf numFmtId="0" fontId="125" fillId="0" borderId="0"/>
    <xf numFmtId="0" fontId="13" fillId="0" borderId="0"/>
    <xf numFmtId="0" fontId="13" fillId="0" borderId="0"/>
    <xf numFmtId="0" fontId="126" fillId="0" borderId="0"/>
    <xf numFmtId="0" fontId="13" fillId="0" borderId="0"/>
    <xf numFmtId="0" fontId="132" fillId="0" borderId="0"/>
    <xf numFmtId="0" fontId="13" fillId="0" borderId="0"/>
    <xf numFmtId="0" fontId="163" fillId="0" borderId="0"/>
    <xf numFmtId="0" fontId="13" fillId="0" borderId="0"/>
    <xf numFmtId="0" fontId="163" fillId="0" borderId="0"/>
    <xf numFmtId="0" fontId="13" fillId="0" borderId="0"/>
    <xf numFmtId="0" fontId="163" fillId="0" borderId="0"/>
    <xf numFmtId="0" fontId="13" fillId="0" borderId="0"/>
    <xf numFmtId="0" fontId="4" fillId="0" borderId="0" applyProtection="0"/>
    <xf numFmtId="0" fontId="3" fillId="0" borderId="0"/>
    <xf numFmtId="0" fontId="126" fillId="0" borderId="0"/>
    <xf numFmtId="0" fontId="13" fillId="0" borderId="0"/>
    <xf numFmtId="0" fontId="13" fillId="0" borderId="0"/>
    <xf numFmtId="0" fontId="130" fillId="0" borderId="0"/>
    <xf numFmtId="172" fontId="4" fillId="0" borderId="0" applyProtection="0"/>
    <xf numFmtId="0" fontId="3" fillId="0" borderId="0"/>
    <xf numFmtId="0" fontId="3" fillId="0" borderId="0"/>
    <xf numFmtId="0" fontId="13" fillId="0" borderId="0"/>
    <xf numFmtId="172" fontId="4" fillId="0" borderId="0" applyProtection="0"/>
    <xf numFmtId="0" fontId="71" fillId="0" borderId="0"/>
    <xf numFmtId="0" fontId="4" fillId="0" borderId="0"/>
    <xf numFmtId="0" fontId="13" fillId="0" borderId="0"/>
    <xf numFmtId="0" fontId="3" fillId="0" borderId="0"/>
    <xf numFmtId="0" fontId="4" fillId="23" borderId="8" applyNumberFormat="0" applyFont="0" applyAlignment="0" applyProtection="0"/>
    <xf numFmtId="0" fontId="4" fillId="23" borderId="8" applyNumberFormat="0" applyFont="0" applyAlignment="0" applyProtection="0"/>
    <xf numFmtId="0" fontId="59" fillId="20" borderId="9" applyNumberFormat="0" applyAlignment="0" applyProtection="0"/>
    <xf numFmtId="0" fontId="59" fillId="20" borderId="9" applyNumberFormat="0" applyAlignment="0" applyProtection="0"/>
    <xf numFmtId="9" fontId="3" fillId="0" borderId="0" applyFont="0" applyFill="0" applyBorder="0" applyAlignment="0" applyProtection="0"/>
    <xf numFmtId="9" fontId="14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2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5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0" fillId="0" borderId="0" applyFont="0" applyFill="0" applyBorder="0" applyAlignment="0" applyProtection="0"/>
    <xf numFmtId="9" fontId="13" fillId="0" borderId="0" applyFont="0" applyFill="0" applyBorder="0" applyAlignment="0" applyProtection="0"/>
    <xf numFmtId="9" fontId="150" fillId="0" borderId="0" applyFont="0" applyFill="0" applyBorder="0" applyAlignment="0" applyProtection="0"/>
    <xf numFmtId="9" fontId="13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8" fillId="0" borderId="0" applyFont="0" applyFill="0" applyBorder="0" applyAlignment="0" applyProtection="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3" fontId="13" fillId="0" borderId="0">
      <alignment horizontal="left" vertical="top"/>
    </xf>
    <xf numFmtId="0" fontId="35" fillId="0" borderId="6">
      <alignment horizontal="center"/>
    </xf>
    <xf numFmtId="3" fontId="34" fillId="0" borderId="0" applyFont="0" applyFill="0" applyBorder="0" applyAlignment="0" applyProtection="0"/>
    <xf numFmtId="0" fontId="34" fillId="24" borderId="0" applyNumberFormat="0" applyFont="0" applyBorder="0" applyAlignment="0" applyProtection="0"/>
    <xf numFmtId="3" fontId="13" fillId="0" borderId="0">
      <alignment horizontal="right" vertical="top"/>
    </xf>
    <xf numFmtId="41" fontId="6" fillId="25" borderId="10" applyFill="0"/>
    <xf numFmtId="0" fontId="60" fillId="0" borderId="0">
      <alignment horizontal="left" indent="7"/>
    </xf>
    <xf numFmtId="41" fontId="6" fillId="0" borderId="10" applyFill="0">
      <alignment horizontal="left" indent="2"/>
    </xf>
    <xf numFmtId="172" fontId="26" fillId="0" borderId="11" applyFill="0">
      <alignment horizontal="right"/>
    </xf>
    <xf numFmtId="0" fontId="10" fillId="0" borderId="12" applyNumberFormat="0" applyFont="0" applyBorder="0">
      <alignment horizontal="right"/>
    </xf>
    <xf numFmtId="0" fontId="61" fillId="0" borderId="0" applyFill="0"/>
    <xf numFmtId="0" fontId="7" fillId="0" borderId="0" applyFill="0"/>
    <xf numFmtId="4" fontId="26" fillId="0" borderId="11" applyFill="0"/>
    <xf numFmtId="0" fontId="13" fillId="0" borderId="0" applyNumberFormat="0" applyFont="0" applyBorder="0" applyAlignment="0"/>
    <xf numFmtId="0" fontId="43" fillId="0" borderId="0" applyFill="0">
      <alignment horizontal="left" indent="1"/>
    </xf>
    <xf numFmtId="0" fontId="62" fillId="0" borderId="0" applyFill="0">
      <alignment horizontal="left" indent="1"/>
    </xf>
    <xf numFmtId="4" fontId="25" fillId="0" borderId="0" applyFill="0"/>
    <xf numFmtId="0" fontId="13" fillId="0" borderId="0" applyNumberFormat="0" applyFont="0" applyFill="0" applyBorder="0" applyAlignment="0"/>
    <xf numFmtId="0" fontId="43" fillId="0" borderId="0" applyFill="0">
      <alignment horizontal="left" indent="2"/>
    </xf>
    <xf numFmtId="0" fontId="7" fillId="0" borderId="0" applyFill="0">
      <alignment horizontal="left" indent="2"/>
    </xf>
    <xf numFmtId="4" fontId="25" fillId="0" borderId="0" applyFill="0"/>
    <xf numFmtId="0" fontId="13" fillId="0" borderId="0" applyNumberFormat="0" applyFont="0" applyBorder="0" applyAlignment="0"/>
    <xf numFmtId="0" fontId="63" fillId="0" borderId="0">
      <alignment horizontal="left" indent="3"/>
    </xf>
    <xf numFmtId="0" fontId="64" fillId="0" borderId="0" applyFill="0">
      <alignment horizontal="left" indent="3"/>
    </xf>
    <xf numFmtId="4" fontId="25" fillId="0" borderId="0" applyFill="0"/>
    <xf numFmtId="0" fontId="13" fillId="0" borderId="0" applyNumberFormat="0" applyFont="0" applyBorder="0" applyAlignment="0"/>
    <xf numFmtId="0" fontId="17" fillId="0" borderId="0">
      <alignment horizontal="left" indent="4"/>
    </xf>
    <xf numFmtId="0" fontId="13" fillId="0" borderId="0" applyFill="0">
      <alignment horizontal="left" indent="4"/>
    </xf>
    <xf numFmtId="4" fontId="44" fillId="0" borderId="0" applyFill="0"/>
    <xf numFmtId="0" fontId="13" fillId="0" borderId="0" applyNumberFormat="0" applyFont="0" applyBorder="0" applyAlignment="0"/>
    <xf numFmtId="0" fontId="45" fillId="0" borderId="0">
      <alignment horizontal="left" indent="5"/>
    </xf>
    <xf numFmtId="0" fontId="46" fillId="0" borderId="0" applyFill="0">
      <alignment horizontal="left" indent="5"/>
    </xf>
    <xf numFmtId="4" fontId="47" fillId="0" borderId="0" applyFill="0"/>
    <xf numFmtId="0" fontId="13" fillId="0" borderId="0" applyNumberFormat="0" applyFont="0" applyFill="0" applyBorder="0" applyAlignment="0"/>
    <xf numFmtId="0" fontId="48" fillId="0" borderId="0" applyFill="0">
      <alignment horizontal="left" indent="6"/>
    </xf>
    <xf numFmtId="0" fontId="44" fillId="0" borderId="0" applyFill="0">
      <alignment horizontal="left" indent="6"/>
    </xf>
    <xf numFmtId="0" fontId="65" fillId="0" borderId="0" applyNumberFormat="0" applyFill="0" applyBorder="0" applyAlignment="0" applyProtection="0"/>
    <xf numFmtId="0" fontId="65" fillId="0" borderId="0" applyNumberForma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3" fillId="0" borderId="0"/>
    <xf numFmtId="0" fontId="2" fillId="0" borderId="0"/>
    <xf numFmtId="9" fontId="165" fillId="0" borderId="0" applyFont="0" applyFill="0" applyBorder="0" applyAlignment="0" applyProtection="0"/>
    <xf numFmtId="172" fontId="165" fillId="0" borderId="0" applyProtection="0"/>
    <xf numFmtId="43" fontId="2" fillId="0" borderId="0" applyFont="0" applyFill="0" applyBorder="0" applyAlignment="0" applyProtection="0"/>
    <xf numFmtId="43" fontId="165" fillId="0" borderId="0" applyFont="0" applyFill="0" applyBorder="0" applyAlignment="0" applyProtection="0"/>
    <xf numFmtId="172" fontId="165" fillId="0" borderId="0" applyProtection="0"/>
    <xf numFmtId="44" fontId="169" fillId="0" borderId="0" applyFont="0" applyFill="0" applyBorder="0" applyAlignment="0" applyProtection="0"/>
    <xf numFmtId="42" fontId="169" fillId="0" borderId="0" applyFont="0" applyFill="0" applyBorder="0" applyAlignment="0" applyProtection="0"/>
    <xf numFmtId="41" fontId="169" fillId="0" borderId="0" applyFont="0" applyFill="0" applyBorder="0" applyAlignment="0" applyProtection="0"/>
    <xf numFmtId="0" fontId="1" fillId="0" borderId="0"/>
    <xf numFmtId="43" fontId="1" fillId="0" borderId="0" applyFont="0" applyFill="0" applyBorder="0" applyAlignment="0" applyProtection="0"/>
  </cellStyleXfs>
  <cellXfs count="1593">
    <xf numFmtId="0" fontId="0" fillId="0" borderId="0" xfId="0"/>
    <xf numFmtId="0" fontId="0" fillId="0" borderId="0" xfId="0" applyAlignment="1">
      <alignment horizontal="center"/>
    </xf>
    <xf numFmtId="0" fontId="6" fillId="0" borderId="0" xfId="0" applyFont="1"/>
    <xf numFmtId="0" fontId="0" fillId="0" borderId="0" xfId="0" applyAlignment="1"/>
    <xf numFmtId="3" fontId="6" fillId="0" borderId="0" xfId="0" applyNumberFormat="1" applyFont="1" applyAlignment="1">
      <alignment horizontal="center"/>
    </xf>
    <xf numFmtId="0" fontId="13" fillId="0" borderId="0" xfId="0" applyFont="1" applyFill="1"/>
    <xf numFmtId="0" fontId="13" fillId="0" borderId="0" xfId="0" applyFont="1"/>
    <xf numFmtId="0" fontId="13" fillId="0" borderId="0" xfId="0" applyFont="1" applyFill="1" applyBorder="1"/>
    <xf numFmtId="0" fontId="10" fillId="0" borderId="0" xfId="263" applyFont="1" applyFill="1" applyAlignment="1">
      <alignment horizontal="center"/>
    </xf>
    <xf numFmtId="0" fontId="16" fillId="0" borderId="0" xfId="263" applyFont="1" applyFill="1"/>
    <xf numFmtId="9" fontId="10" fillId="0" borderId="0" xfId="263" quotePrefix="1" applyNumberFormat="1" applyFont="1" applyFill="1" applyAlignment="1">
      <alignment horizontal="center"/>
    </xf>
    <xf numFmtId="0" fontId="18" fillId="0" borderId="0" xfId="263" applyFont="1" applyAlignment="1">
      <alignment horizontal="right"/>
    </xf>
    <xf numFmtId="0" fontId="18" fillId="0" borderId="0" xfId="263" applyFont="1" applyAlignment="1">
      <alignment horizontal="center"/>
    </xf>
    <xf numFmtId="0" fontId="18" fillId="0" borderId="0" xfId="263" applyFont="1" applyFill="1" applyAlignment="1">
      <alignment horizontal="center"/>
    </xf>
    <xf numFmtId="9" fontId="10" fillId="0" borderId="0" xfId="263" applyNumberFormat="1" applyFont="1" applyFill="1" applyAlignment="1">
      <alignment horizontal="center"/>
    </xf>
    <xf numFmtId="0" fontId="19" fillId="0" borderId="0" xfId="0" applyFont="1" applyAlignment="1">
      <alignment horizontal="right"/>
    </xf>
    <xf numFmtId="0" fontId="0" fillId="0" borderId="0" xfId="0" applyBorder="1"/>
    <xf numFmtId="0" fontId="6" fillId="0" borderId="0" xfId="0" applyFont="1" applyFill="1" applyAlignment="1"/>
    <xf numFmtId="0" fontId="0" fillId="0" borderId="0" xfId="0" applyAlignment="1">
      <alignment wrapText="1"/>
    </xf>
    <xf numFmtId="0" fontId="5" fillId="0" borderId="0" xfId="0" applyFont="1"/>
    <xf numFmtId="0" fontId="6" fillId="0" borderId="0" xfId="0" applyFont="1" applyFill="1"/>
    <xf numFmtId="0" fontId="0" fillId="0" borderId="0" xfId="0" applyFill="1"/>
    <xf numFmtId="0" fontId="0" fillId="0" borderId="0" xfId="0" applyFont="1" applyFill="1" applyAlignment="1">
      <alignment horizontal="center"/>
    </xf>
    <xf numFmtId="0" fontId="19" fillId="0" borderId="0" xfId="0" applyFont="1"/>
    <xf numFmtId="0" fontId="13" fillId="0" borderId="0" xfId="263" applyFont="1" applyFill="1"/>
    <xf numFmtId="41" fontId="13" fillId="0" borderId="0" xfId="263" applyNumberFormat="1" applyFont="1" applyFill="1"/>
    <xf numFmtId="0" fontId="16" fillId="0" borderId="0" xfId="263" applyFont="1" applyFill="1" applyAlignment="1">
      <alignment horizontal="left"/>
    </xf>
    <xf numFmtId="3" fontId="13" fillId="0" borderId="0" xfId="0" applyNumberFormat="1" applyFont="1" applyFill="1"/>
    <xf numFmtId="0" fontId="6" fillId="0" borderId="0" xfId="263" applyFont="1" applyFill="1" applyAlignment="1">
      <alignment horizontal="right"/>
    </xf>
    <xf numFmtId="40" fontId="13" fillId="0" borderId="0" xfId="0" applyNumberFormat="1" applyFont="1" applyFill="1"/>
    <xf numFmtId="0" fontId="13" fillId="0" borderId="0" xfId="263" applyFont="1"/>
    <xf numFmtId="0" fontId="6" fillId="0" borderId="0" xfId="263" applyFont="1" applyFill="1"/>
    <xf numFmtId="0" fontId="10" fillId="0" borderId="0" xfId="263" applyFont="1" applyFill="1" applyBorder="1" applyAlignment="1">
      <alignment horizontal="left"/>
    </xf>
    <xf numFmtId="0" fontId="10" fillId="0" borderId="0" xfId="263" applyFont="1" applyFill="1" applyBorder="1"/>
    <xf numFmtId="0" fontId="13" fillId="0" borderId="0" xfId="263" applyFont="1" applyAlignment="1">
      <alignment horizontal="left"/>
    </xf>
    <xf numFmtId="0" fontId="7" fillId="0" borderId="0" xfId="263" applyFont="1" applyFill="1" applyAlignment="1">
      <alignment horizontal="center"/>
    </xf>
    <xf numFmtId="37" fontId="6" fillId="0" borderId="0" xfId="0" applyNumberFormat="1" applyFont="1" applyFill="1" applyAlignment="1"/>
    <xf numFmtId="0" fontId="27" fillId="0" borderId="0" xfId="0" applyFont="1" applyFill="1"/>
    <xf numFmtId="0" fontId="6" fillId="0" borderId="0" xfId="0" applyFont="1" applyAlignment="1">
      <alignment horizontal="center"/>
    </xf>
    <xf numFmtId="37" fontId="6" fillId="0" borderId="0" xfId="0" applyNumberFormat="1" applyFont="1" applyFill="1" applyAlignment="1">
      <alignment horizontal="center"/>
    </xf>
    <xf numFmtId="10" fontId="6" fillId="0" borderId="0" xfId="0" applyNumberFormat="1" applyFont="1" applyFill="1" applyBorder="1" applyAlignment="1"/>
    <xf numFmtId="175" fontId="6" fillId="0" borderId="0" xfId="0" applyNumberFormat="1" applyFont="1" applyFill="1"/>
    <xf numFmtId="3" fontId="20" fillId="0" borderId="0" xfId="0" applyNumberFormat="1" applyFont="1" applyFill="1" applyAlignment="1"/>
    <xf numFmtId="41" fontId="28" fillId="0" borderId="0" xfId="263" applyNumberFormat="1" applyFont="1" applyFill="1" applyBorder="1"/>
    <xf numFmtId="0" fontId="29" fillId="0" borderId="0" xfId="263" applyFont="1" applyFill="1" applyAlignment="1">
      <alignment horizontal="left"/>
    </xf>
    <xf numFmtId="0" fontId="27" fillId="0" borderId="0" xfId="263" applyFont="1" applyFill="1"/>
    <xf numFmtId="41" fontId="27" fillId="0" borderId="0" xfId="263" applyNumberFormat="1" applyFont="1" applyFill="1" applyBorder="1"/>
    <xf numFmtId="0" fontId="27" fillId="0" borderId="0" xfId="263" applyFont="1" applyFill="1" applyAlignment="1">
      <alignment horizontal="left"/>
    </xf>
    <xf numFmtId="0" fontId="30" fillId="0" borderId="0" xfId="263" applyFont="1" applyFill="1" applyBorder="1"/>
    <xf numFmtId="0" fontId="27" fillId="0" borderId="0" xfId="263" applyFont="1" applyFill="1" applyAlignment="1">
      <alignment horizontal="center"/>
    </xf>
    <xf numFmtId="0" fontId="11" fillId="0" borderId="0" xfId="263" applyFont="1" applyFill="1" applyAlignment="1">
      <alignment horizontal="center"/>
    </xf>
    <xf numFmtId="173" fontId="27" fillId="0" borderId="0" xfId="263" applyNumberFormat="1" applyFont="1" applyFill="1"/>
    <xf numFmtId="173" fontId="27" fillId="0" borderId="0" xfId="263" applyNumberFormat="1" applyFont="1" applyFill="1" applyBorder="1" applyAlignment="1">
      <alignment vertical="top"/>
    </xf>
    <xf numFmtId="41" fontId="27" fillId="0" borderId="13" xfId="263" applyNumberFormat="1" applyFont="1" applyFill="1" applyBorder="1"/>
    <xf numFmtId="173" fontId="7" fillId="0" borderId="0" xfId="86" applyNumberFormat="1" applyFont="1" applyFill="1" applyAlignment="1">
      <alignment horizontal="center"/>
    </xf>
    <xf numFmtId="0" fontId="6" fillId="0" borderId="0" xfId="263" applyFont="1" applyFill="1" applyAlignment="1">
      <alignment horizontal="center"/>
    </xf>
    <xf numFmtId="0" fontId="31" fillId="0" borderId="0" xfId="263" applyFont="1" applyFill="1" applyBorder="1"/>
    <xf numFmtId="0" fontId="11" fillId="0" borderId="0" xfId="263" applyFont="1" applyAlignment="1">
      <alignment horizontal="center"/>
    </xf>
    <xf numFmtId="41" fontId="6" fillId="0" borderId="13" xfId="263" applyNumberFormat="1" applyFont="1" applyFill="1" applyBorder="1"/>
    <xf numFmtId="38" fontId="13" fillId="0" borderId="0" xfId="0" applyNumberFormat="1" applyFont="1" applyFill="1" applyBorder="1" applyAlignment="1"/>
    <xf numFmtId="3" fontId="13" fillId="0" borderId="0" xfId="0" applyNumberFormat="1" applyFont="1"/>
    <xf numFmtId="40" fontId="13" fillId="0" borderId="0" xfId="0" applyNumberFormat="1" applyFont="1"/>
    <xf numFmtId="43" fontId="6" fillId="0" borderId="0" xfId="263" applyNumberFormat="1" applyFont="1" applyFill="1"/>
    <xf numFmtId="3" fontId="6" fillId="0" borderId="0" xfId="0" applyNumberFormat="1" applyFont="1" applyFill="1" applyAlignment="1"/>
    <xf numFmtId="41" fontId="28" fillId="25" borderId="0" xfId="263" applyNumberFormat="1" applyFont="1" applyFill="1" applyBorder="1"/>
    <xf numFmtId="0" fontId="8" fillId="0" borderId="0" xfId="222" applyFont="1" applyFill="1" applyBorder="1" applyAlignment="1">
      <alignment horizontal="left"/>
    </xf>
    <xf numFmtId="0" fontId="13" fillId="0" borderId="0" xfId="222" applyFont="1" applyBorder="1" applyAlignment="1"/>
    <xf numFmtId="0" fontId="13" fillId="0" borderId="0" xfId="222" applyFont="1" applyBorder="1" applyAlignment="1">
      <alignment horizontal="center"/>
    </xf>
    <xf numFmtId="0" fontId="13" fillId="0" borderId="0" xfId="222" applyFont="1" applyBorder="1"/>
    <xf numFmtId="0" fontId="13" fillId="0" borderId="0" xfId="222" applyNumberFormat="1" applyFont="1" applyFill="1" applyBorder="1" applyAlignment="1">
      <alignment horizontal="left"/>
    </xf>
    <xf numFmtId="0" fontId="10" fillId="0" borderId="0" xfId="222" applyNumberFormat="1" applyFont="1" applyFill="1" applyBorder="1" applyAlignment="1">
      <alignment horizontal="left"/>
    </xf>
    <xf numFmtId="0" fontId="13" fillId="0" borderId="0" xfId="222" applyFont="1" applyFill="1" applyBorder="1" applyAlignment="1">
      <alignment horizontal="center" wrapText="1"/>
    </xf>
    <xf numFmtId="3" fontId="13" fillId="0" borderId="0" xfId="222" applyNumberFormat="1" applyFont="1" applyFill="1" applyBorder="1" applyAlignment="1"/>
    <xf numFmtId="0" fontId="13" fillId="0" borderId="0" xfId="222" applyFont="1" applyFill="1" applyBorder="1" applyAlignment="1"/>
    <xf numFmtId="0" fontId="13" fillId="0" borderId="0" xfId="222" applyNumberFormat="1" applyFont="1" applyFill="1" applyBorder="1" applyAlignment="1">
      <alignment horizontal="center"/>
    </xf>
    <xf numFmtId="173" fontId="13" fillId="0" borderId="0" xfId="90" applyNumberFormat="1" applyFont="1" applyFill="1" applyBorder="1" applyAlignment="1">
      <alignment horizontal="right"/>
    </xf>
    <xf numFmtId="0" fontId="9" fillId="0" borderId="0" xfId="222" applyFont="1" applyFill="1" applyBorder="1" applyAlignment="1"/>
    <xf numFmtId="0" fontId="13" fillId="0" borderId="0" xfId="222" applyFont="1" applyFill="1" applyBorder="1"/>
    <xf numFmtId="0" fontId="10" fillId="0" borderId="0" xfId="222" applyFont="1" applyBorder="1" applyAlignment="1"/>
    <xf numFmtId="0" fontId="10" fillId="0" borderId="0" xfId="222" applyNumberFormat="1" applyFont="1" applyFill="1" applyBorder="1" applyAlignment="1">
      <alignment horizontal="center"/>
    </xf>
    <xf numFmtId="164" fontId="13" fillId="0" borderId="0" xfId="284" applyNumberFormat="1" applyFont="1" applyFill="1" applyBorder="1" applyAlignment="1"/>
    <xf numFmtId="173" fontId="13" fillId="0" borderId="0" xfId="90" applyNumberFormat="1" applyFont="1" applyFill="1" applyBorder="1" applyAlignment="1">
      <alignment horizontal="left"/>
    </xf>
    <xf numFmtId="0" fontId="13" fillId="0" borderId="0" xfId="222" applyFont="1" applyFill="1" applyBorder="1" applyAlignment="1">
      <alignment horizontal="center"/>
    </xf>
    <xf numFmtId="3" fontId="13" fillId="0" borderId="0" xfId="222" applyNumberFormat="1" applyFont="1" applyFill="1" applyBorder="1" applyAlignment="1">
      <alignment horizontal="right"/>
    </xf>
    <xf numFmtId="3" fontId="13" fillId="0" borderId="0" xfId="222" applyNumberFormat="1" applyFont="1" applyFill="1" applyBorder="1" applyAlignment="1">
      <alignment horizontal="center"/>
    </xf>
    <xf numFmtId="0" fontId="0" fillId="0" borderId="0" xfId="0" applyAlignment="1">
      <alignment horizontal="center" wrapText="1"/>
    </xf>
    <xf numFmtId="0" fontId="33" fillId="0" borderId="0" xfId="0" applyFont="1" applyFill="1"/>
    <xf numFmtId="0" fontId="20" fillId="0" borderId="0" xfId="263" applyFont="1" applyFill="1"/>
    <xf numFmtId="0" fontId="18" fillId="0" borderId="0" xfId="222" applyFont="1" applyFill="1" applyBorder="1" applyAlignment="1">
      <alignment horizontal="left"/>
    </xf>
    <xf numFmtId="0" fontId="10" fillId="0" borderId="0" xfId="222" applyFont="1" applyFill="1" applyBorder="1" applyAlignment="1">
      <alignment horizontal="left"/>
    </xf>
    <xf numFmtId="0" fontId="10" fillId="0" borderId="0" xfId="222" applyFont="1" applyFill="1" applyBorder="1" applyAlignment="1">
      <alignment horizontal="center"/>
    </xf>
    <xf numFmtId="173" fontId="13" fillId="0" borderId="14" xfId="90" applyNumberFormat="1" applyFont="1" applyFill="1" applyBorder="1" applyAlignment="1">
      <alignment horizontal="right"/>
    </xf>
    <xf numFmtId="0" fontId="10" fillId="0" borderId="0" xfId="222" applyFont="1" applyBorder="1" applyAlignment="1">
      <alignment horizontal="center"/>
    </xf>
    <xf numFmtId="0" fontId="13" fillId="0" borderId="0" xfId="263" applyFont="1" applyAlignment="1">
      <alignment horizontal="center"/>
    </xf>
    <xf numFmtId="0" fontId="6" fillId="0" borderId="0" xfId="222" applyFont="1" applyBorder="1" applyAlignment="1">
      <alignment horizontal="center"/>
    </xf>
    <xf numFmtId="49" fontId="6" fillId="0" borderId="0" xfId="263" applyNumberFormat="1" applyFont="1" applyAlignment="1">
      <alignment horizontal="center"/>
    </xf>
    <xf numFmtId="0" fontId="0" fillId="0" borderId="0" xfId="0" applyAlignment="1">
      <alignment horizontal="right"/>
    </xf>
    <xf numFmtId="0" fontId="10" fillId="0" borderId="0" xfId="222" applyFont="1" applyBorder="1"/>
    <xf numFmtId="3" fontId="11" fillId="0" borderId="0" xfId="0" applyNumberFormat="1" applyFont="1" applyFill="1" applyAlignment="1">
      <alignment horizontal="center"/>
    </xf>
    <xf numFmtId="173" fontId="3" fillId="0" borderId="0" xfId="86" applyNumberFormat="1"/>
    <xf numFmtId="0" fontId="5" fillId="0" borderId="0" xfId="0" applyFont="1" applyFill="1"/>
    <xf numFmtId="0" fontId="13" fillId="0" borderId="0" xfId="0" applyFont="1" applyBorder="1"/>
    <xf numFmtId="0" fontId="13" fillId="0" borderId="0" xfId="0" applyFont="1" applyAlignment="1">
      <alignment horizontal="center"/>
    </xf>
    <xf numFmtId="173" fontId="13" fillId="0" borderId="0" xfId="86" applyNumberFormat="1" applyFont="1"/>
    <xf numFmtId="10" fontId="13" fillId="0" borderId="0" xfId="0" applyNumberFormat="1" applyFont="1"/>
    <xf numFmtId="173" fontId="3" fillId="0" borderId="0" xfId="86" applyNumberFormat="1" applyFill="1"/>
    <xf numFmtId="10" fontId="0" fillId="0" borderId="0" xfId="0" applyNumberFormat="1"/>
    <xf numFmtId="183" fontId="19" fillId="0" borderId="0" xfId="273" applyNumberFormat="1" applyFont="1"/>
    <xf numFmtId="0" fontId="72" fillId="0" borderId="0" xfId="273" applyFont="1"/>
    <xf numFmtId="183" fontId="19" fillId="0" borderId="0" xfId="273" applyNumberFormat="1" applyFont="1" applyAlignment="1">
      <alignment horizontal="center"/>
    </xf>
    <xf numFmtId="0" fontId="13" fillId="0" borderId="0" xfId="273" applyFont="1"/>
    <xf numFmtId="0" fontId="19" fillId="0" borderId="0" xfId="273" applyFont="1"/>
    <xf numFmtId="0" fontId="19" fillId="0" borderId="0" xfId="273" applyNumberFormat="1" applyFont="1" applyAlignment="1">
      <alignment horizontal="center"/>
    </xf>
    <xf numFmtId="0" fontId="19" fillId="0" borderId="0" xfId="273" applyNumberFormat="1" applyFont="1"/>
    <xf numFmtId="0" fontId="19" fillId="0" borderId="0" xfId="273" applyNumberFormat="1" applyFont="1" applyBorder="1" applyAlignment="1">
      <alignment horizontal="center"/>
    </xf>
    <xf numFmtId="183" fontId="73" fillId="0" borderId="0" xfId="273" applyNumberFormat="1" applyFont="1"/>
    <xf numFmtId="0" fontId="74" fillId="0" borderId="0" xfId="273" applyFont="1"/>
    <xf numFmtId="173" fontId="72" fillId="0" borderId="0" xfId="273" applyNumberFormat="1" applyFont="1"/>
    <xf numFmtId="0" fontId="75" fillId="0" borderId="0" xfId="273" applyFont="1"/>
    <xf numFmtId="183" fontId="13" fillId="0" borderId="0" xfId="273" applyNumberFormat="1" applyFont="1"/>
    <xf numFmtId="0" fontId="76" fillId="0" borderId="0" xfId="269" applyFont="1" applyFill="1" applyAlignment="1">
      <alignment horizontal="center"/>
    </xf>
    <xf numFmtId="0" fontId="76" fillId="0" borderId="0" xfId="269" applyFont="1" applyFill="1" applyAlignment="1">
      <alignment horizontal="left" indent="2"/>
    </xf>
    <xf numFmtId="39" fontId="76" fillId="0" borderId="0" xfId="269" applyNumberFormat="1" applyFont="1" applyFill="1"/>
    <xf numFmtId="0" fontId="72" fillId="0" borderId="0" xfId="273" applyFont="1" applyFill="1"/>
    <xf numFmtId="0" fontId="13" fillId="0" borderId="0" xfId="273" applyNumberFormat="1" applyFont="1" applyAlignment="1">
      <alignment horizontal="center"/>
    </xf>
    <xf numFmtId="0" fontId="13" fillId="0" borderId="0" xfId="273" applyNumberFormat="1" applyFont="1"/>
    <xf numFmtId="183" fontId="6" fillId="0" borderId="0" xfId="273" applyNumberFormat="1" applyFont="1"/>
    <xf numFmtId="43" fontId="6" fillId="0" borderId="0" xfId="86" applyFont="1"/>
    <xf numFmtId="173" fontId="6" fillId="0" borderId="0" xfId="86" applyNumberFormat="1" applyFont="1"/>
    <xf numFmtId="173" fontId="72" fillId="0" borderId="14" xfId="86" applyNumberFormat="1" applyFont="1" applyBorder="1"/>
    <xf numFmtId="0" fontId="72" fillId="0" borderId="0" xfId="0" applyFont="1"/>
    <xf numFmtId="173" fontId="72" fillId="0" borderId="0" xfId="273" applyNumberFormat="1" applyFont="1" applyBorder="1"/>
    <xf numFmtId="10" fontId="6" fillId="0" borderId="14" xfId="0" applyNumberFormat="1" applyFont="1" applyFill="1" applyBorder="1" applyAlignment="1"/>
    <xf numFmtId="173" fontId="0" fillId="0" borderId="0" xfId="86" applyNumberFormat="1" applyFont="1" applyFill="1"/>
    <xf numFmtId="173" fontId="0" fillId="0" borderId="0" xfId="0" applyNumberFormat="1"/>
    <xf numFmtId="41" fontId="13" fillId="0" borderId="0" xfId="263" applyNumberFormat="1" applyFont="1"/>
    <xf numFmtId="173" fontId="13" fillId="0" borderId="0" xfId="86" applyNumberFormat="1" applyFont="1" applyFill="1"/>
    <xf numFmtId="0" fontId="10" fillId="0" borderId="0" xfId="263" applyFont="1" applyAlignment="1">
      <alignment horizontal="center" wrapText="1"/>
    </xf>
    <xf numFmtId="38" fontId="13" fillId="0" borderId="0" xfId="0" applyNumberFormat="1" applyFont="1" applyFill="1" applyBorder="1" applyAlignment="1">
      <alignment horizontal="center"/>
    </xf>
    <xf numFmtId="0" fontId="3" fillId="0" borderId="0" xfId="263" applyFill="1" applyAlignment="1">
      <alignment horizontal="left"/>
    </xf>
    <xf numFmtId="0" fontId="79" fillId="0" borderId="0" xfId="263" applyFont="1" applyFill="1" applyBorder="1" applyAlignment="1">
      <alignment horizontal="left"/>
    </xf>
    <xf numFmtId="0" fontId="3" fillId="0" borderId="0" xfId="263" applyFill="1"/>
    <xf numFmtId="0" fontId="79" fillId="0" borderId="0" xfId="263" applyFont="1" applyFill="1" applyBorder="1"/>
    <xf numFmtId="0" fontId="70" fillId="0" borderId="0" xfId="263" applyFont="1" applyFill="1" applyAlignment="1">
      <alignment horizontal="center"/>
    </xf>
    <xf numFmtId="38" fontId="13" fillId="0" borderId="15" xfId="0" applyNumberFormat="1" applyFont="1" applyFill="1" applyBorder="1"/>
    <xf numFmtId="38" fontId="13" fillId="0" borderId="0" xfId="0" applyNumberFormat="1" applyFont="1" applyFill="1" applyBorder="1"/>
    <xf numFmtId="0" fontId="80" fillId="0" borderId="0" xfId="222" applyNumberFormat="1" applyFont="1" applyFill="1" applyBorder="1" applyAlignment="1">
      <alignment horizontal="left"/>
    </xf>
    <xf numFmtId="38" fontId="13" fillId="0" borderId="0" xfId="222" applyNumberFormat="1" applyFont="1" applyFill="1" applyBorder="1" applyAlignment="1">
      <alignment horizontal="right"/>
    </xf>
    <xf numFmtId="0" fontId="13" fillId="0" borderId="0" xfId="222" applyNumberFormat="1" applyFont="1" applyFill="1" applyBorder="1" applyAlignment="1">
      <alignment horizontal="right"/>
    </xf>
    <xf numFmtId="38" fontId="13" fillId="0" borderId="0" xfId="0" applyNumberFormat="1" applyFont="1" applyBorder="1" applyAlignment="1">
      <alignment horizontal="right"/>
    </xf>
    <xf numFmtId="0" fontId="5" fillId="0" borderId="0" xfId="0" applyFont="1" applyAlignment="1">
      <alignment horizontal="center"/>
    </xf>
    <xf numFmtId="0" fontId="5" fillId="0" borderId="0" xfId="222" applyFont="1" applyBorder="1" applyAlignment="1">
      <alignment horizontal="center"/>
    </xf>
    <xf numFmtId="38" fontId="9" fillId="0" borderId="0" xfId="222" applyNumberFormat="1" applyFont="1" applyFill="1" applyBorder="1" applyAlignment="1"/>
    <xf numFmtId="173" fontId="9" fillId="0" borderId="14" xfId="86" applyNumberFormat="1" applyFont="1" applyFill="1" applyBorder="1" applyAlignment="1"/>
    <xf numFmtId="0" fontId="13" fillId="0" borderId="14" xfId="222" applyNumberFormat="1" applyFont="1" applyFill="1" applyBorder="1" applyAlignment="1">
      <alignment horizontal="left"/>
    </xf>
    <xf numFmtId="0" fontId="19" fillId="0" borderId="0" xfId="273" applyNumberFormat="1" applyFont="1" applyFill="1" applyAlignment="1">
      <alignment horizontal="center"/>
    </xf>
    <xf numFmtId="0" fontId="13" fillId="0" borderId="0" xfId="273" applyNumberFormat="1" applyFont="1" applyFill="1"/>
    <xf numFmtId="173" fontId="72" fillId="0" borderId="0" xfId="273" applyNumberFormat="1" applyFont="1" applyFill="1"/>
    <xf numFmtId="173" fontId="72" fillId="0" borderId="0" xfId="86" applyNumberFormat="1" applyFont="1" applyFill="1"/>
    <xf numFmtId="3" fontId="5" fillId="0" borderId="0" xfId="0" applyNumberFormat="1" applyFont="1" applyAlignment="1">
      <alignment horizontal="center"/>
    </xf>
    <xf numFmtId="10" fontId="13" fillId="0" borderId="0" xfId="281" applyNumberFormat="1" applyFont="1" applyAlignment="1">
      <alignment horizontal="right"/>
    </xf>
    <xf numFmtId="0" fontId="10" fillId="0" borderId="0" xfId="0" applyFont="1" applyAlignment="1">
      <alignment horizontal="center" wrapText="1"/>
    </xf>
    <xf numFmtId="0" fontId="10" fillId="0" borderId="0" xfId="0" applyFont="1" applyAlignment="1">
      <alignment wrapText="1"/>
    </xf>
    <xf numFmtId="10" fontId="9" fillId="0" borderId="0" xfId="281" applyNumberFormat="1" applyFont="1"/>
    <xf numFmtId="174" fontId="3" fillId="0" borderId="0" xfId="123" applyNumberFormat="1"/>
    <xf numFmtId="0" fontId="5" fillId="0" borderId="0" xfId="0" applyFont="1" applyAlignment="1">
      <alignment horizontal="right"/>
    </xf>
    <xf numFmtId="0" fontId="13" fillId="0" borderId="0" xfId="0" applyFont="1" applyAlignment="1">
      <alignment horizontal="centerContinuous"/>
    </xf>
    <xf numFmtId="0" fontId="18" fillId="0" borderId="0" xfId="0" applyFont="1" applyAlignment="1">
      <alignment horizontal="center"/>
    </xf>
    <xf numFmtId="0" fontId="10"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xf numFmtId="0" fontId="18" fillId="0" borderId="0" xfId="0" applyFont="1" applyAlignment="1">
      <alignment horizontal="left"/>
    </xf>
    <xf numFmtId="0" fontId="5" fillId="0" borderId="0" xfId="0" applyFont="1" applyAlignment="1">
      <alignment horizontal="left"/>
    </xf>
    <xf numFmtId="0" fontId="18"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6" fillId="0" borderId="0" xfId="263" applyFont="1"/>
    <xf numFmtId="0" fontId="3" fillId="0" borderId="0" xfId="263" applyAlignment="1">
      <alignment horizontal="left"/>
    </xf>
    <xf numFmtId="0" fontId="3" fillId="0" borderId="0" xfId="263"/>
    <xf numFmtId="0" fontId="16" fillId="0" borderId="0" xfId="263" applyFont="1" applyAlignment="1">
      <alignment horizontal="left"/>
    </xf>
    <xf numFmtId="173" fontId="13" fillId="0" borderId="0" xfId="222" applyNumberFormat="1" applyFont="1" applyFill="1" applyBorder="1"/>
    <xf numFmtId="0" fontId="13" fillId="25" borderId="0" xfId="222" applyNumberFormat="1" applyFont="1" applyFill="1" applyBorder="1" applyAlignment="1">
      <alignment horizontal="center"/>
    </xf>
    <xf numFmtId="0" fontId="10" fillId="25" borderId="0" xfId="222" applyNumberFormat="1" applyFont="1" applyFill="1" applyBorder="1" applyAlignment="1">
      <alignment horizontal="left"/>
    </xf>
    <xf numFmtId="0" fontId="9" fillId="25" borderId="0" xfId="222" applyFont="1" applyFill="1" applyBorder="1" applyAlignment="1"/>
    <xf numFmtId="0" fontId="13" fillId="25" borderId="0" xfId="222" applyNumberFormat="1" applyFont="1" applyFill="1" applyBorder="1" applyAlignment="1">
      <alignment horizontal="left"/>
    </xf>
    <xf numFmtId="0" fontId="13" fillId="25" borderId="0" xfId="222" applyFont="1" applyFill="1" applyBorder="1"/>
    <xf numFmtId="173" fontId="13" fillId="25" borderId="0" xfId="90" applyNumberFormat="1" applyFont="1" applyFill="1" applyBorder="1" applyAlignment="1">
      <alignment horizontal="right"/>
    </xf>
    <xf numFmtId="0" fontId="0" fillId="25" borderId="0" xfId="0" applyFill="1" applyBorder="1"/>
    <xf numFmtId="164" fontId="13" fillId="25" borderId="0" xfId="284" applyNumberFormat="1" applyFont="1" applyFill="1" applyBorder="1" applyAlignment="1"/>
    <xf numFmtId="173" fontId="13" fillId="25" borderId="0" xfId="90" applyNumberFormat="1" applyFont="1" applyFill="1" applyBorder="1" applyAlignment="1">
      <alignment horizontal="left"/>
    </xf>
    <xf numFmtId="0" fontId="16" fillId="0" borderId="0" xfId="263" applyFont="1" applyAlignment="1"/>
    <xf numFmtId="0" fontId="14" fillId="0" borderId="0" xfId="0" applyFont="1" applyBorder="1"/>
    <xf numFmtId="0" fontId="18" fillId="0" borderId="0" xfId="222" applyFont="1" applyFill="1" applyBorder="1" applyAlignment="1">
      <alignment horizontal="center"/>
    </xf>
    <xf numFmtId="0" fontId="14" fillId="0" borderId="0" xfId="222" applyNumberFormat="1" applyFont="1" applyFill="1" applyBorder="1" applyAlignment="1">
      <alignment horizontal="left"/>
    </xf>
    <xf numFmtId="173" fontId="14" fillId="0" borderId="0" xfId="90" applyNumberFormat="1" applyFont="1" applyFill="1" applyBorder="1" applyAlignment="1">
      <alignment horizontal="right"/>
    </xf>
    <xf numFmtId="0" fontId="15" fillId="0" borderId="0" xfId="263" applyFont="1" applyFill="1"/>
    <xf numFmtId="0" fontId="82" fillId="0" borderId="0" xfId="263" applyFont="1" applyFill="1"/>
    <xf numFmtId="9" fontId="11" fillId="0" borderId="0" xfId="263" quotePrefix="1" applyNumberFormat="1" applyFont="1" applyFill="1" applyAlignment="1">
      <alignment horizontal="center"/>
    </xf>
    <xf numFmtId="0" fontId="5" fillId="0" borderId="0" xfId="273" applyNumberFormat="1" applyFont="1" applyAlignment="1">
      <alignment horizontal="center"/>
    </xf>
    <xf numFmtId="0" fontId="5" fillId="0" borderId="0" xfId="273" applyNumberFormat="1" applyFont="1"/>
    <xf numFmtId="183" fontId="5" fillId="0" borderId="0" xfId="273" applyNumberFormat="1" applyFont="1" applyAlignment="1">
      <alignment horizontal="center"/>
    </xf>
    <xf numFmtId="0" fontId="10" fillId="0" borderId="0" xfId="273" applyFont="1"/>
    <xf numFmtId="0" fontId="5" fillId="0" borderId="11" xfId="273" applyNumberFormat="1" applyFont="1" applyBorder="1" applyAlignment="1">
      <alignment horizontal="center"/>
    </xf>
    <xf numFmtId="183" fontId="5" fillId="0" borderId="11" xfId="273" applyNumberFormat="1" applyFont="1" applyBorder="1" applyAlignment="1">
      <alignment horizontal="center"/>
    </xf>
    <xf numFmtId="0" fontId="75" fillId="0" borderId="11" xfId="273" applyFont="1" applyBorder="1" applyAlignment="1">
      <alignment horizontal="center"/>
    </xf>
    <xf numFmtId="0" fontId="10" fillId="0" borderId="0" xfId="273" applyFont="1" applyAlignment="1">
      <alignment horizontal="center"/>
    </xf>
    <xf numFmtId="6" fontId="13" fillId="0" borderId="0" xfId="0" applyNumberFormat="1" applyFont="1" applyAlignment="1">
      <alignment horizontal="right"/>
    </xf>
    <xf numFmtId="174" fontId="0" fillId="0" borderId="0" xfId="123" applyNumberFormat="1" applyFont="1" applyAlignment="1">
      <alignment horizontal="center"/>
    </xf>
    <xf numFmtId="0" fontId="10" fillId="0" borderId="0" xfId="0" applyFont="1" applyAlignment="1">
      <alignment horizontal="left"/>
    </xf>
    <xf numFmtId="6" fontId="10" fillId="0" borderId="0" xfId="0" applyNumberFormat="1" applyFont="1" applyAlignment="1">
      <alignment horizontal="right"/>
    </xf>
    <xf numFmtId="173" fontId="84" fillId="0" borderId="0" xfId="86" applyNumberFormat="1" applyFont="1" applyFill="1"/>
    <xf numFmtId="0" fontId="88" fillId="0" borderId="0" xfId="0" applyFont="1" applyBorder="1" applyAlignment="1">
      <alignment horizontal="center"/>
    </xf>
    <xf numFmtId="0" fontId="87" fillId="0" borderId="0" xfId="263" applyFont="1" applyFill="1" applyAlignment="1">
      <alignment horizontal="center"/>
    </xf>
    <xf numFmtId="0" fontId="6" fillId="0" borderId="0" xfId="273" applyFont="1"/>
    <xf numFmtId="173" fontId="6" fillId="0" borderId="0" xfId="273" applyNumberFormat="1" applyFont="1"/>
    <xf numFmtId="164" fontId="0" fillId="0" borderId="0" xfId="281" applyNumberFormat="1" applyFont="1"/>
    <xf numFmtId="173" fontId="91" fillId="0" borderId="0" xfId="273" applyNumberFormat="1" applyFont="1" applyFill="1" applyBorder="1"/>
    <xf numFmtId="0" fontId="24" fillId="0" borderId="0" xfId="263" applyFont="1" applyFill="1" applyAlignment="1">
      <alignment horizontal="center"/>
    </xf>
    <xf numFmtId="37" fontId="13" fillId="0" borderId="15" xfId="0" applyNumberFormat="1" applyFont="1" applyFill="1" applyBorder="1"/>
    <xf numFmtId="37" fontId="13" fillId="0" borderId="0" xfId="222" applyNumberFormat="1" applyFont="1" applyFill="1" applyBorder="1" applyAlignment="1">
      <alignment horizontal="right"/>
    </xf>
    <xf numFmtId="37" fontId="9" fillId="0" borderId="0" xfId="222" applyNumberFormat="1" applyFont="1" applyFill="1" applyBorder="1" applyAlignment="1"/>
    <xf numFmtId="0" fontId="94" fillId="0" borderId="0" xfId="263" applyFont="1" applyFill="1" applyBorder="1"/>
    <xf numFmtId="0" fontId="13" fillId="0" borderId="0" xfId="0" applyFont="1" applyAlignment="1"/>
    <xf numFmtId="0" fontId="13" fillId="0" borderId="0" xfId="0" applyFont="1" applyAlignment="1">
      <alignment horizontal="center" wrapText="1"/>
    </xf>
    <xf numFmtId="0" fontId="33" fillId="0" borderId="0" xfId="0" applyFont="1" applyAlignment="1">
      <alignment wrapText="1"/>
    </xf>
    <xf numFmtId="0" fontId="33" fillId="0" borderId="0" xfId="0" applyFont="1"/>
    <xf numFmtId="0" fontId="33" fillId="0" borderId="0" xfId="0" applyFont="1" applyAlignment="1">
      <alignment horizontal="center" wrapText="1"/>
    </xf>
    <xf numFmtId="173" fontId="0" fillId="0" borderId="14" xfId="0" applyNumberFormat="1" applyBorder="1"/>
    <xf numFmtId="9" fontId="0" fillId="0" borderId="0" xfId="281" applyFont="1"/>
    <xf numFmtId="0" fontId="96" fillId="0" borderId="0" xfId="0" applyFont="1" applyAlignment="1">
      <alignment horizontal="center" wrapText="1"/>
    </xf>
    <xf numFmtId="0" fontId="19" fillId="0" borderId="0" xfId="269" applyFont="1" applyFill="1" applyAlignment="1">
      <alignment horizontal="center"/>
    </xf>
    <xf numFmtId="0" fontId="33" fillId="0" borderId="0" xfId="263" applyFont="1" applyFill="1" applyAlignment="1">
      <alignment horizontal="left"/>
    </xf>
    <xf numFmtId="0" fontId="33" fillId="0" borderId="0" xfId="263" applyFont="1" applyFill="1"/>
    <xf numFmtId="0" fontId="98" fillId="0" borderId="0" xfId="263" applyFont="1" applyFill="1" applyAlignment="1">
      <alignment horizontal="center"/>
    </xf>
    <xf numFmtId="0" fontId="99" fillId="0" borderId="0" xfId="263" applyFont="1" applyFill="1" applyBorder="1"/>
    <xf numFmtId="187" fontId="100" fillId="0" borderId="0" xfId="222" applyNumberFormat="1" applyFont="1" applyFill="1" applyBorder="1" applyAlignment="1">
      <alignment horizontal="center"/>
    </xf>
    <xf numFmtId="38" fontId="0" fillId="0" borderId="0" xfId="0" applyNumberFormat="1" applyBorder="1"/>
    <xf numFmtId="0" fontId="3" fillId="0" borderId="0" xfId="0" applyFont="1"/>
    <xf numFmtId="3" fontId="14" fillId="0" borderId="0" xfId="222" applyNumberFormat="1" applyFont="1" applyBorder="1" applyAlignment="1">
      <alignment horizontal="center"/>
    </xf>
    <xf numFmtId="0" fontId="0" fillId="0" borderId="0" xfId="0" applyFill="1" applyAlignment="1"/>
    <xf numFmtId="0" fontId="13" fillId="0" borderId="0" xfId="0" applyFont="1" applyFill="1" applyAlignment="1">
      <alignment horizontal="centerContinuous"/>
    </xf>
    <xf numFmtId="43" fontId="6" fillId="0" borderId="0" xfId="86" applyFont="1" applyAlignment="1">
      <alignment horizontal="center"/>
    </xf>
    <xf numFmtId="43" fontId="6" fillId="0" borderId="0" xfId="86" applyFont="1" applyBorder="1" applyAlignment="1">
      <alignment horizontal="center"/>
    </xf>
    <xf numFmtId="43" fontId="5" fillId="0" borderId="0" xfId="86" applyFont="1" applyBorder="1" applyAlignment="1">
      <alignment horizontal="center"/>
    </xf>
    <xf numFmtId="43" fontId="5" fillId="0" borderId="0" xfId="86" applyFont="1" applyAlignment="1">
      <alignment horizontal="center"/>
    </xf>
    <xf numFmtId="43" fontId="16" fillId="0" borderId="0" xfId="86" applyFont="1"/>
    <xf numFmtId="0" fontId="7" fillId="0" borderId="0" xfId="263" applyFont="1" applyFill="1" applyBorder="1" applyAlignment="1">
      <alignment horizontal="center"/>
    </xf>
    <xf numFmtId="0" fontId="6" fillId="0" borderId="0" xfId="0" applyFont="1" applyBorder="1" applyAlignment="1">
      <alignment horizontal="center"/>
    </xf>
    <xf numFmtId="0" fontId="5" fillId="0" borderId="0" xfId="273" applyNumberFormat="1" applyFont="1" applyBorder="1" applyAlignment="1">
      <alignment horizontal="center"/>
    </xf>
    <xf numFmtId="0" fontId="13" fillId="0" borderId="0" xfId="273" applyFont="1" applyBorder="1"/>
    <xf numFmtId="0" fontId="5" fillId="0" borderId="11" xfId="273" applyNumberFormat="1" applyFont="1" applyBorder="1"/>
    <xf numFmtId="183" fontId="5" fillId="0" borderId="0" xfId="273" applyNumberFormat="1" applyFont="1" applyBorder="1" applyAlignment="1">
      <alignment horizontal="center"/>
    </xf>
    <xf numFmtId="0" fontId="13" fillId="0" borderId="0" xfId="273" applyFont="1" applyFill="1"/>
    <xf numFmtId="0" fontId="72" fillId="0" borderId="0" xfId="273" applyFont="1" applyAlignment="1">
      <alignment horizontal="center"/>
    </xf>
    <xf numFmtId="173" fontId="78" fillId="0" borderId="0" xfId="273" applyNumberFormat="1" applyFont="1" applyFill="1" applyBorder="1"/>
    <xf numFmtId="0" fontId="19" fillId="0" borderId="0" xfId="273" applyFont="1" applyFill="1"/>
    <xf numFmtId="3" fontId="78" fillId="0" borderId="0" xfId="273" applyNumberFormat="1" applyFont="1" applyFill="1" applyBorder="1"/>
    <xf numFmtId="173" fontId="78" fillId="0" borderId="0" xfId="273" applyNumberFormat="1" applyFont="1" applyFill="1"/>
    <xf numFmtId="0" fontId="0" fillId="0" borderId="0" xfId="0" applyBorder="1" applyAlignment="1">
      <alignment horizontal="center"/>
    </xf>
    <xf numFmtId="0" fontId="72" fillId="0" borderId="0" xfId="273" applyFont="1" applyFill="1" applyBorder="1"/>
    <xf numFmtId="173" fontId="72" fillId="0" borderId="0" xfId="273" applyNumberFormat="1" applyFont="1" applyFill="1" applyBorder="1"/>
    <xf numFmtId="0" fontId="23" fillId="0" borderId="0" xfId="263" applyFont="1" applyFill="1" applyBorder="1"/>
    <xf numFmtId="38" fontId="27" fillId="0" borderId="13" xfId="263" applyNumberFormat="1" applyFont="1" applyFill="1" applyBorder="1" applyAlignment="1">
      <alignment horizontal="right"/>
    </xf>
    <xf numFmtId="0" fontId="33" fillId="0" borderId="0" xfId="263" applyFont="1" applyAlignment="1">
      <alignment horizontal="center"/>
    </xf>
    <xf numFmtId="0" fontId="76" fillId="0" borderId="0" xfId="273" applyNumberFormat="1" applyFont="1" applyFill="1"/>
    <xf numFmtId="10" fontId="4" fillId="0" borderId="0" xfId="274" applyNumberFormat="1" applyProtection="1"/>
    <xf numFmtId="10" fontId="4" fillId="0" borderId="16" xfId="274" applyNumberFormat="1" applyBorder="1" applyProtection="1"/>
    <xf numFmtId="191" fontId="4" fillId="0" borderId="16" xfId="274" applyNumberFormat="1" applyBorder="1" applyProtection="1"/>
    <xf numFmtId="175" fontId="4" fillId="0" borderId="16" xfId="274" applyNumberFormat="1" applyBorder="1" applyProtection="1"/>
    <xf numFmtId="190" fontId="4" fillId="0" borderId="16" xfId="274" applyNumberFormat="1" applyBorder="1" applyProtection="1"/>
    <xf numFmtId="193" fontId="4" fillId="0" borderId="0" xfId="274" applyNumberFormat="1" applyProtection="1"/>
    <xf numFmtId="175" fontId="4" fillId="0" borderId="0" xfId="274" applyNumberFormat="1" applyProtection="1"/>
    <xf numFmtId="190" fontId="4" fillId="0" borderId="0" xfId="274" applyNumberFormat="1" applyProtection="1"/>
    <xf numFmtId="10" fontId="113" fillId="0" borderId="0" xfId="274" applyNumberFormat="1" applyFont="1" applyProtection="1"/>
    <xf numFmtId="173" fontId="116" fillId="0" borderId="0" xfId="0" applyNumberFormat="1" applyFont="1"/>
    <xf numFmtId="0" fontId="103" fillId="0" borderId="0" xfId="222" applyFont="1" applyFill="1" applyBorder="1" applyAlignment="1">
      <alignment horizontal="center"/>
    </xf>
    <xf numFmtId="0" fontId="96" fillId="0" borderId="0" xfId="222" applyFont="1" applyFill="1" applyBorder="1" applyAlignment="1">
      <alignment horizontal="left"/>
    </xf>
    <xf numFmtId="0" fontId="33" fillId="0" borderId="0" xfId="222" applyNumberFormat="1" applyFont="1" applyFill="1" applyBorder="1" applyAlignment="1">
      <alignment horizontal="center"/>
    </xf>
    <xf numFmtId="0" fontId="33" fillId="0" borderId="0" xfId="222" applyNumberFormat="1" applyFont="1" applyFill="1" applyBorder="1" applyAlignment="1">
      <alignment horizontal="left"/>
    </xf>
    <xf numFmtId="0" fontId="33" fillId="0" borderId="0" xfId="222" applyFont="1" applyFill="1" applyBorder="1" applyAlignment="1"/>
    <xf numFmtId="0" fontId="33" fillId="0" borderId="0" xfId="222" applyFont="1" applyFill="1" applyBorder="1" applyAlignment="1">
      <alignment horizontal="center"/>
    </xf>
    <xf numFmtId="0" fontId="33" fillId="0" borderId="0" xfId="222" applyFont="1" applyBorder="1"/>
    <xf numFmtId="0" fontId="33" fillId="0" borderId="0" xfId="222" applyFont="1" applyFill="1" applyBorder="1"/>
    <xf numFmtId="3" fontId="33" fillId="0" borderId="0" xfId="222" applyNumberFormat="1" applyFont="1" applyFill="1" applyBorder="1" applyAlignment="1"/>
    <xf numFmtId="0" fontId="103" fillId="0" borderId="0" xfId="222" applyFont="1" applyFill="1" applyBorder="1"/>
    <xf numFmtId="38" fontId="13" fillId="0" borderId="0" xfId="0" applyNumberFormat="1" applyFont="1" applyBorder="1"/>
    <xf numFmtId="0" fontId="33" fillId="0" borderId="0" xfId="263" applyFont="1" applyFill="1" applyBorder="1"/>
    <xf numFmtId="0" fontId="115" fillId="0" borderId="0" xfId="263" applyFont="1" applyFill="1" applyAlignment="1">
      <alignment horizontal="center"/>
    </xf>
    <xf numFmtId="0" fontId="13" fillId="0" borderId="0" xfId="263" applyFont="1" applyFill="1" applyBorder="1"/>
    <xf numFmtId="0" fontId="96" fillId="0" borderId="0" xfId="0" applyFont="1" applyAlignment="1">
      <alignment horizontal="center"/>
    </xf>
    <xf numFmtId="41" fontId="0" fillId="0" borderId="0" xfId="0" applyNumberFormat="1" applyFill="1"/>
    <xf numFmtId="37" fontId="117" fillId="0" borderId="13" xfId="0" applyNumberFormat="1" applyFont="1" applyBorder="1"/>
    <xf numFmtId="0" fontId="27" fillId="0" borderId="0" xfId="0" applyFont="1" applyFill="1" applyAlignment="1">
      <alignment horizontal="left"/>
    </xf>
    <xf numFmtId="0" fontId="27" fillId="0" borderId="0" xfId="0" applyFont="1" applyFill="1" applyBorder="1"/>
    <xf numFmtId="41" fontId="27" fillId="0" borderId="11" xfId="263" applyNumberFormat="1" applyFont="1" applyFill="1" applyBorder="1"/>
    <xf numFmtId="3" fontId="20" fillId="26" borderId="0" xfId="0" applyNumberFormat="1" applyFont="1" applyFill="1" applyAlignment="1"/>
    <xf numFmtId="3" fontId="20" fillId="26" borderId="0" xfId="0" applyNumberFormat="1" applyFont="1" applyFill="1" applyBorder="1" applyAlignment="1"/>
    <xf numFmtId="173" fontId="78" fillId="26" borderId="0" xfId="273" applyNumberFormat="1" applyFont="1" applyFill="1" applyBorder="1"/>
    <xf numFmtId="0" fontId="72" fillId="26" borderId="0" xfId="273" applyFont="1" applyFill="1" applyAlignment="1">
      <alignment horizontal="center"/>
    </xf>
    <xf numFmtId="174" fontId="0" fillId="0" borderId="0" xfId="123" applyNumberFormat="1" applyFont="1"/>
    <xf numFmtId="0" fontId="13" fillId="0" borderId="0" xfId="263" applyFont="1" applyFill="1" applyAlignment="1">
      <alignment horizontal="center"/>
    </xf>
    <xf numFmtId="3" fontId="33" fillId="26" borderId="0" xfId="222" applyNumberFormat="1" applyFont="1" applyFill="1" applyBorder="1" applyAlignment="1"/>
    <xf numFmtId="0" fontId="6" fillId="26" borderId="0" xfId="0" applyFont="1" applyFill="1"/>
    <xf numFmtId="174" fontId="0" fillId="0" borderId="0" xfId="0" applyNumberFormat="1" applyBorder="1"/>
    <xf numFmtId="6" fontId="13" fillId="0" borderId="0" xfId="0" applyNumberFormat="1" applyFont="1" applyBorder="1" applyAlignment="1">
      <alignment horizontal="right"/>
    </xf>
    <xf numFmtId="0" fontId="75" fillId="0" borderId="0" xfId="273" applyFont="1" applyFill="1"/>
    <xf numFmtId="0" fontId="72" fillId="26" borderId="0" xfId="273" applyFont="1" applyFill="1"/>
    <xf numFmtId="10" fontId="4" fillId="0" borderId="0" xfId="274" applyNumberFormat="1" applyBorder="1" applyProtection="1"/>
    <xf numFmtId="191" fontId="4" fillId="0" borderId="0" xfId="274" applyNumberFormat="1" applyBorder="1" applyProtection="1"/>
    <xf numFmtId="190" fontId="4" fillId="0" borderId="0" xfId="274" applyNumberFormat="1" applyBorder="1" applyProtection="1"/>
    <xf numFmtId="175" fontId="4" fillId="0" borderId="0" xfId="274" applyNumberFormat="1" applyBorder="1" applyProtection="1"/>
    <xf numFmtId="172" fontId="4" fillId="0" borderId="0" xfId="272" applyFont="1" applyAlignment="1" applyProtection="1"/>
    <xf numFmtId="172" fontId="6" fillId="0" borderId="0" xfId="272" applyFont="1" applyAlignment="1" applyProtection="1"/>
    <xf numFmtId="0" fontId="0" fillId="0" borderId="0" xfId="0" applyBorder="1" applyProtection="1"/>
    <xf numFmtId="0" fontId="7" fillId="0" borderId="0" xfId="272" applyNumberFormat="1" applyFont="1" applyBorder="1" applyAlignment="1" applyProtection="1">
      <alignment horizontal="left"/>
    </xf>
    <xf numFmtId="14" fontId="7" fillId="0" borderId="0" xfId="272" applyNumberFormat="1" applyFont="1" applyBorder="1" applyAlignment="1" applyProtection="1"/>
    <xf numFmtId="172" fontId="7" fillId="0" borderId="0" xfId="272" applyFont="1" applyFill="1" applyAlignment="1" applyProtection="1"/>
    <xf numFmtId="172" fontId="6" fillId="0" borderId="0" xfId="272" applyFont="1" applyFill="1" applyAlignment="1" applyProtection="1"/>
    <xf numFmtId="0" fontId="6" fillId="0" borderId="0" xfId="272" applyNumberFormat="1" applyFont="1" applyAlignment="1" applyProtection="1"/>
    <xf numFmtId="0" fontId="6" fillId="0" borderId="0" xfId="0" applyNumberFormat="1" applyFont="1" applyAlignment="1" applyProtection="1">
      <alignment horizontal="center"/>
    </xf>
    <xf numFmtId="0" fontId="6" fillId="0" borderId="0" xfId="0" applyFont="1" applyAlignment="1" applyProtection="1"/>
    <xf numFmtId="0" fontId="6" fillId="0" borderId="0" xfId="272" applyNumberFormat="1" applyFont="1" applyProtection="1"/>
    <xf numFmtId="0" fontId="6" fillId="0" borderId="0" xfId="272" applyNumberFormat="1" applyFont="1" applyAlignment="1" applyProtection="1">
      <alignment horizontal="right"/>
    </xf>
    <xf numFmtId="0" fontId="20" fillId="0" borderId="0" xfId="86" applyNumberFormat="1" applyFont="1" applyFill="1" applyAlignment="1" applyProtection="1"/>
    <xf numFmtId="3" fontId="6" fillId="0" borderId="0" xfId="272" applyNumberFormat="1" applyFont="1" applyAlignment="1" applyProtection="1"/>
    <xf numFmtId="3" fontId="6" fillId="0" borderId="0" xfId="0" applyNumberFormat="1" applyFont="1" applyAlignment="1" applyProtection="1">
      <alignment horizontal="center"/>
    </xf>
    <xf numFmtId="0" fontId="4" fillId="0" borderId="0" xfId="272" applyNumberFormat="1" applyFont="1" applyAlignment="1" applyProtection="1">
      <alignment horizontal="center"/>
    </xf>
    <xf numFmtId="0" fontId="6" fillId="0" borderId="0" xfId="272" applyNumberFormat="1" applyFont="1" applyAlignment="1" applyProtection="1">
      <alignment horizontal="center"/>
    </xf>
    <xf numFmtId="49" fontId="6" fillId="0" borderId="0" xfId="272" applyNumberFormat="1" applyFont="1" applyAlignment="1" applyProtection="1">
      <alignment horizontal="center"/>
    </xf>
    <xf numFmtId="0" fontId="0" fillId="0" borderId="0" xfId="0" applyProtection="1"/>
    <xf numFmtId="3" fontId="22" fillId="0" borderId="0" xfId="0" applyNumberFormat="1" applyFont="1" applyAlignment="1" applyProtection="1">
      <alignment horizontal="center"/>
    </xf>
    <xf numFmtId="49" fontId="6" fillId="0" borderId="0" xfId="272" applyNumberFormat="1" applyFont="1" applyProtection="1"/>
    <xf numFmtId="39" fontId="6" fillId="0" borderId="0" xfId="86" applyNumberFormat="1" applyFont="1" applyAlignment="1" applyProtection="1">
      <alignment horizontal="center"/>
    </xf>
    <xf numFmtId="0" fontId="4" fillId="0" borderId="6" xfId="272" applyNumberFormat="1" applyFont="1" applyBorder="1" applyAlignment="1" applyProtection="1">
      <alignment horizontal="center"/>
    </xf>
    <xf numFmtId="0" fontId="6" fillId="0" borderId="0" xfId="272" applyNumberFormat="1" applyFont="1" applyBorder="1" applyAlignment="1" applyProtection="1">
      <alignment horizontal="center"/>
    </xf>
    <xf numFmtId="0" fontId="6" fillId="0" borderId="6" xfId="272" applyNumberFormat="1" applyFont="1" applyBorder="1" applyAlignment="1" applyProtection="1">
      <alignment horizontal="center"/>
    </xf>
    <xf numFmtId="0" fontId="6" fillId="0" borderId="0" xfId="0" applyNumberFormat="1" applyFont="1" applyProtection="1"/>
    <xf numFmtId="0" fontId="6" fillId="0" borderId="0" xfId="272" applyNumberFormat="1" applyFont="1" applyFill="1" applyProtection="1"/>
    <xf numFmtId="3" fontId="6" fillId="0" borderId="0" xfId="272" applyNumberFormat="1" applyFont="1" applyProtection="1"/>
    <xf numFmtId="0" fontId="6" fillId="0" borderId="0" xfId="272" applyNumberFormat="1" applyFont="1" applyAlignment="1" applyProtection="1">
      <alignment horizontal="left"/>
    </xf>
    <xf numFmtId="170" fontId="6" fillId="0" borderId="0" xfId="272" applyNumberFormat="1" applyFont="1" applyProtection="1"/>
    <xf numFmtId="3" fontId="6" fillId="0" borderId="0" xfId="272" applyNumberFormat="1" applyFont="1" applyFill="1" applyAlignment="1" applyProtection="1">
      <alignment horizontal="left"/>
    </xf>
    <xf numFmtId="3" fontId="6" fillId="0" borderId="0" xfId="272" applyNumberFormat="1" applyFont="1" applyFill="1" applyAlignment="1" applyProtection="1"/>
    <xf numFmtId="0" fontId="6" fillId="0" borderId="6" xfId="272" applyNumberFormat="1" applyFont="1" applyBorder="1" applyAlignment="1" applyProtection="1">
      <alignment horizontal="centerContinuous"/>
    </xf>
    <xf numFmtId="0" fontId="6" fillId="0" borderId="0" xfId="0" applyNumberFormat="1" applyFont="1" applyAlignment="1" applyProtection="1"/>
    <xf numFmtId="41" fontId="6" fillId="0" borderId="0" xfId="272" applyNumberFormat="1" applyFont="1" applyFill="1" applyBorder="1" applyAlignment="1" applyProtection="1"/>
    <xf numFmtId="3" fontId="6" fillId="0" borderId="0" xfId="272" applyNumberFormat="1" applyFont="1" applyFill="1" applyAlignment="1" applyProtection="1">
      <alignment horizontal="center"/>
    </xf>
    <xf numFmtId="165" fontId="6" fillId="0" borderId="0" xfId="272" applyNumberFormat="1" applyFont="1" applyFill="1" applyAlignment="1" applyProtection="1">
      <alignment horizontal="right"/>
    </xf>
    <xf numFmtId="42" fontId="6" fillId="0" borderId="0" xfId="272" applyNumberFormat="1" applyFont="1" applyBorder="1" applyAlignment="1" applyProtection="1"/>
    <xf numFmtId="172" fontId="6" fillId="0" borderId="11" xfId="272" applyFont="1" applyBorder="1" applyAlignment="1" applyProtection="1"/>
    <xf numFmtId="172" fontId="6" fillId="0" borderId="0" xfId="272" applyFont="1" applyBorder="1" applyAlignment="1" applyProtection="1"/>
    <xf numFmtId="0" fontId="4" fillId="0" borderId="0" xfId="272" applyNumberFormat="1" applyFont="1" applyFill="1" applyAlignment="1" applyProtection="1">
      <alignment horizontal="center"/>
    </xf>
    <xf numFmtId="0" fontId="6" fillId="0" borderId="0" xfId="272" applyNumberFormat="1" applyFont="1" applyFill="1" applyAlignment="1" applyProtection="1">
      <alignment horizontal="center"/>
    </xf>
    <xf numFmtId="0" fontId="6" fillId="0" borderId="0" xfId="0" applyNumberFormat="1" applyFont="1" applyAlignment="1" applyProtection="1">
      <alignment wrapText="1"/>
    </xf>
    <xf numFmtId="3" fontId="6" fillId="0" borderId="0" xfId="272" applyNumberFormat="1" applyFont="1" applyAlignment="1" applyProtection="1">
      <alignment horizontal="left"/>
    </xf>
    <xf numFmtId="3" fontId="6" fillId="0" borderId="0" xfId="272" applyNumberFormat="1" applyFont="1" applyAlignment="1" applyProtection="1">
      <alignment horizontal="center"/>
    </xf>
    <xf numFmtId="174" fontId="6" fillId="0" borderId="14" xfId="272" applyNumberFormat="1" applyFont="1" applyBorder="1" applyAlignment="1" applyProtection="1"/>
    <xf numFmtId="42" fontId="6" fillId="0" borderId="0" xfId="272" applyNumberFormat="1" applyFont="1" applyAlignment="1" applyProtection="1"/>
    <xf numFmtId="172" fontId="77" fillId="0" borderId="0" xfId="272" applyFont="1" applyAlignment="1" applyProtection="1">
      <alignment horizontal="center" wrapText="1"/>
    </xf>
    <xf numFmtId="0" fontId="6" fillId="0" borderId="0" xfId="0" applyNumberFormat="1" applyFont="1" applyFill="1" applyAlignment="1" applyProtection="1"/>
    <xf numFmtId="41" fontId="6" fillId="0" borderId="0" xfId="272" applyNumberFormat="1" applyFont="1" applyFill="1" applyAlignment="1" applyProtection="1"/>
    <xf numFmtId="42" fontId="6" fillId="0" borderId="0" xfId="272" applyNumberFormat="1" applyFont="1" applyFill="1" applyAlignment="1" applyProtection="1"/>
    <xf numFmtId="43" fontId="6" fillId="0" borderId="0" xfId="86" applyFont="1" applyProtection="1"/>
    <xf numFmtId="0" fontId="6" fillId="0" borderId="0" xfId="272" applyNumberFormat="1" applyFont="1" applyFill="1" applyAlignment="1" applyProtection="1"/>
    <xf numFmtId="171" fontId="6" fillId="0" borderId="0" xfId="272" applyNumberFormat="1" applyFont="1" applyProtection="1"/>
    <xf numFmtId="10" fontId="6" fillId="0" borderId="0" xfId="272" applyNumberFormat="1" applyFont="1" applyAlignment="1" applyProtection="1"/>
    <xf numFmtId="10" fontId="6" fillId="0" borderId="0" xfId="272" applyNumberFormat="1" applyFont="1" applyProtection="1"/>
    <xf numFmtId="0" fontId="33" fillId="0" borderId="0" xfId="0" applyFont="1" applyProtection="1"/>
    <xf numFmtId="10" fontId="6" fillId="0" borderId="0" xfId="281" applyNumberFormat="1" applyFont="1" applyAlignment="1" applyProtection="1"/>
    <xf numFmtId="184" fontId="6" fillId="0" borderId="0" xfId="272" applyNumberFormat="1" applyFont="1" applyProtection="1"/>
    <xf numFmtId="0" fontId="6" fillId="0" borderId="0" xfId="0" applyNumberFormat="1" applyFont="1" applyFill="1" applyProtection="1"/>
    <xf numFmtId="43" fontId="6" fillId="0" borderId="0" xfId="86" applyFont="1" applyAlignment="1" applyProtection="1"/>
    <xf numFmtId="41" fontId="6" fillId="0" borderId="0" xfId="272" applyNumberFormat="1" applyFont="1" applyAlignment="1" applyProtection="1">
      <alignment horizontal="center"/>
    </xf>
    <xf numFmtId="41" fontId="6" fillId="0" borderId="14" xfId="272" applyNumberFormat="1" applyFont="1" applyBorder="1" applyAlignment="1" applyProtection="1">
      <alignment horizontal="center"/>
    </xf>
    <xf numFmtId="41" fontId="6" fillId="0" borderId="0" xfId="272" applyNumberFormat="1" applyFont="1" applyFill="1" applyAlignment="1" applyProtection="1">
      <alignment horizontal="right"/>
    </xf>
    <xf numFmtId="42" fontId="6" fillId="0" borderId="0" xfId="281" applyNumberFormat="1" applyFont="1" applyAlignment="1" applyProtection="1"/>
    <xf numFmtId="43" fontId="6" fillId="0" borderId="0" xfId="272" applyNumberFormat="1" applyFont="1" applyFill="1" applyAlignment="1" applyProtection="1">
      <alignment horizontal="right"/>
    </xf>
    <xf numFmtId="172" fontId="6" fillId="0" borderId="0" xfId="272" applyFont="1" applyFill="1" applyAlignment="1" applyProtection="1">
      <alignment horizontal="right"/>
    </xf>
    <xf numFmtId="0" fontId="33" fillId="0" borderId="0" xfId="0" applyFont="1" applyAlignment="1" applyProtection="1">
      <alignment horizontal="center"/>
    </xf>
    <xf numFmtId="49" fontId="6" fillId="0" borderId="0" xfId="272" applyNumberFormat="1" applyFont="1" applyAlignment="1" applyProtection="1">
      <alignment horizontal="left"/>
    </xf>
    <xf numFmtId="0" fontId="4" fillId="0" borderId="0" xfId="272" applyNumberFormat="1" applyFont="1" applyAlignment="1" applyProtection="1">
      <alignment horizontal="center" vertical="center"/>
    </xf>
    <xf numFmtId="3" fontId="7" fillId="0" borderId="0" xfId="272" applyNumberFormat="1" applyFont="1" applyAlignment="1" applyProtection="1">
      <alignment horizontal="center"/>
    </xf>
    <xf numFmtId="172" fontId="7" fillId="0" borderId="0" xfId="272" applyFont="1" applyAlignment="1" applyProtection="1">
      <alignment horizontal="center"/>
    </xf>
    <xf numFmtId="49" fontId="7" fillId="0" borderId="0" xfId="272" applyNumberFormat="1" applyFont="1" applyAlignment="1" applyProtection="1">
      <alignment horizontal="center"/>
    </xf>
    <xf numFmtId="0" fontId="11" fillId="0" borderId="0" xfId="272" applyNumberFormat="1" applyFont="1" applyAlignment="1" applyProtection="1">
      <alignment horizontal="center"/>
    </xf>
    <xf numFmtId="172" fontId="11" fillId="0" borderId="0" xfId="272" applyFont="1" applyBorder="1" applyAlignment="1" applyProtection="1">
      <alignment horizontal="center"/>
    </xf>
    <xf numFmtId="3" fontId="7" fillId="0" borderId="0" xfId="272" applyNumberFormat="1" applyFont="1" applyAlignment="1" applyProtection="1"/>
    <xf numFmtId="3" fontId="6" fillId="0" borderId="0" xfId="272" applyNumberFormat="1" applyFont="1" applyFill="1" applyBorder="1" applyAlignment="1" applyProtection="1">
      <alignment horizontal="center"/>
    </xf>
    <xf numFmtId="0" fontId="6" fillId="0" borderId="0" xfId="272" applyNumberFormat="1" applyFont="1" applyBorder="1" applyAlignment="1" applyProtection="1"/>
    <xf numFmtId="173" fontId="6" fillId="0" borderId="0" xfId="86" applyNumberFormat="1" applyFont="1" applyFill="1" applyAlignment="1" applyProtection="1"/>
    <xf numFmtId="0" fontId="6" fillId="0" borderId="0" xfId="272" applyNumberFormat="1" applyFont="1" applyBorder="1" applyAlignment="1" applyProtection="1">
      <alignment vertical="center"/>
    </xf>
    <xf numFmtId="3" fontId="6" fillId="0" borderId="0" xfId="272" applyNumberFormat="1" applyFont="1" applyFill="1" applyAlignment="1" applyProtection="1">
      <alignment vertical="center" wrapText="1"/>
    </xf>
    <xf numFmtId="3" fontId="6" fillId="0" borderId="0" xfId="272" applyNumberFormat="1" applyFont="1" applyFill="1" applyAlignment="1" applyProtection="1">
      <alignment horizontal="center" vertical="center"/>
    </xf>
    <xf numFmtId="3" fontId="6" fillId="0" borderId="0" xfId="272" applyNumberFormat="1" applyFont="1" applyFill="1" applyAlignment="1" applyProtection="1">
      <alignment vertical="center"/>
    </xf>
    <xf numFmtId="41" fontId="6" fillId="0" borderId="0" xfId="272" applyNumberFormat="1" applyFont="1" applyFill="1" applyAlignment="1" applyProtection="1">
      <alignment vertical="center"/>
    </xf>
    <xf numFmtId="0" fontId="6" fillId="0" borderId="0" xfId="272" applyNumberFormat="1" applyFont="1" applyFill="1" applyBorder="1" applyAlignment="1" applyProtection="1"/>
    <xf numFmtId="41" fontId="6" fillId="0" borderId="6" xfId="272" applyNumberFormat="1" applyFont="1" applyFill="1" applyBorder="1" applyAlignment="1" applyProtection="1"/>
    <xf numFmtId="0" fontId="33" fillId="0" borderId="0" xfId="0" applyFont="1" applyAlignment="1" applyProtection="1"/>
    <xf numFmtId="177" fontId="7" fillId="0" borderId="0" xfId="272" applyNumberFormat="1" applyFont="1" applyFill="1" applyAlignment="1" applyProtection="1">
      <alignment horizontal="right"/>
    </xf>
    <xf numFmtId="180" fontId="7" fillId="0" borderId="0" xfId="86" applyNumberFormat="1" applyFont="1" applyFill="1" applyAlignment="1" applyProtection="1"/>
    <xf numFmtId="182" fontId="6" fillId="0" borderId="0" xfId="272" applyNumberFormat="1" applyFont="1" applyFill="1" applyAlignment="1" applyProtection="1"/>
    <xf numFmtId="181" fontId="6" fillId="0" borderId="0" xfId="272" applyNumberFormat="1" applyFont="1" applyFill="1" applyAlignment="1" applyProtection="1"/>
    <xf numFmtId="165" fontId="6" fillId="0" borderId="0" xfId="272" applyNumberFormat="1" applyFont="1" applyFill="1" applyAlignment="1" applyProtection="1"/>
    <xf numFmtId="0" fontId="6" fillId="0" borderId="0" xfId="272" applyNumberFormat="1" applyFont="1" applyFill="1" applyAlignment="1" applyProtection="1">
      <alignment horizontal="center" vertical="center"/>
    </xf>
    <xf numFmtId="164" fontId="6" fillId="0" borderId="0" xfId="272" applyNumberFormat="1" applyFont="1" applyFill="1" applyAlignment="1" applyProtection="1">
      <alignment horizontal="center"/>
    </xf>
    <xf numFmtId="176" fontId="6" fillId="0" borderId="0" xfId="86" applyNumberFormat="1" applyFont="1" applyFill="1" applyAlignment="1" applyProtection="1">
      <alignment horizontal="center"/>
    </xf>
    <xf numFmtId="41" fontId="6" fillId="0" borderId="0" xfId="272" applyNumberFormat="1" applyFont="1" applyAlignment="1" applyProtection="1"/>
    <xf numFmtId="165" fontId="6" fillId="0" borderId="0" xfId="272" applyNumberFormat="1" applyFont="1" applyAlignment="1" applyProtection="1"/>
    <xf numFmtId="3" fontId="7" fillId="0" borderId="0" xfId="272" applyNumberFormat="1" applyFont="1" applyFill="1" applyAlignment="1" applyProtection="1">
      <alignment horizontal="right"/>
    </xf>
    <xf numFmtId="180" fontId="6" fillId="0" borderId="0" xfId="86" applyNumberFormat="1" applyFont="1" applyFill="1" applyAlignment="1" applyProtection="1"/>
    <xf numFmtId="0" fontId="0" fillId="0" borderId="0" xfId="0" applyFill="1" applyProtection="1"/>
    <xf numFmtId="164" fontId="6" fillId="0" borderId="0" xfId="272" applyNumberFormat="1" applyFont="1" applyFill="1" applyAlignment="1" applyProtection="1">
      <alignment horizontal="left"/>
    </xf>
    <xf numFmtId="0" fontId="33" fillId="0" borderId="0" xfId="0" applyFont="1" applyFill="1" applyProtection="1"/>
    <xf numFmtId="10" fontId="6" fillId="0" borderId="0" xfId="281" applyNumberFormat="1" applyFont="1" applyFill="1" applyAlignment="1" applyProtection="1"/>
    <xf numFmtId="41" fontId="6" fillId="0" borderId="0" xfId="272" applyNumberFormat="1" applyFont="1" applyAlignment="1" applyProtection="1">
      <alignment horizontal="center" vertical="center"/>
    </xf>
    <xf numFmtId="41" fontId="6" fillId="0" borderId="6" xfId="272" applyNumberFormat="1" applyFont="1" applyBorder="1" applyAlignment="1" applyProtection="1"/>
    <xf numFmtId="164" fontId="6" fillId="0" borderId="0" xfId="272" applyNumberFormat="1" applyFont="1" applyAlignment="1" applyProtection="1">
      <alignment horizontal="center"/>
    </xf>
    <xf numFmtId="0" fontId="86" fillId="0" borderId="0" xfId="272" applyNumberFormat="1" applyFont="1" applyAlignment="1" applyProtection="1">
      <alignment horizontal="center"/>
    </xf>
    <xf numFmtId="3" fontId="6" fillId="0" borderId="0" xfId="272" applyNumberFormat="1" applyFont="1" applyFill="1" applyAlignment="1" applyProtection="1">
      <alignment horizontal="right"/>
    </xf>
    <xf numFmtId="172" fontId="6" fillId="0" borderId="0" xfId="272" applyFont="1" applyAlignment="1" applyProtection="1">
      <alignment horizontal="center"/>
    </xf>
    <xf numFmtId="172" fontId="6" fillId="0" borderId="0" xfId="272" applyFont="1" applyFill="1" applyAlignment="1" applyProtection="1">
      <alignment horizontal="center"/>
    </xf>
    <xf numFmtId="0" fontId="0" fillId="0" borderId="0" xfId="0" applyAlignment="1" applyProtection="1">
      <alignment horizontal="center"/>
    </xf>
    <xf numFmtId="172" fontId="7" fillId="0" borderId="0" xfId="272" applyFont="1" applyAlignment="1" applyProtection="1"/>
    <xf numFmtId="0" fontId="7" fillId="0" borderId="0" xfId="272" applyNumberFormat="1" applyFont="1" applyAlignment="1" applyProtection="1">
      <alignment horizontal="center"/>
    </xf>
    <xf numFmtId="3" fontId="11" fillId="0" borderId="0" xfId="272" applyNumberFormat="1" applyFont="1" applyAlignment="1" applyProtection="1">
      <alignment horizontal="center"/>
    </xf>
    <xf numFmtId="3" fontId="7" fillId="0" borderId="0" xfId="272" applyNumberFormat="1" applyFont="1" applyFill="1" applyAlignment="1" applyProtection="1"/>
    <xf numFmtId="3" fontId="11" fillId="0" borderId="0" xfId="272" applyNumberFormat="1" applyFont="1" applyFill="1" applyAlignment="1" applyProtection="1"/>
    <xf numFmtId="3" fontId="11" fillId="0" borderId="0" xfId="272" applyNumberFormat="1" applyFont="1" applyAlignment="1" applyProtection="1"/>
    <xf numFmtId="0" fontId="33" fillId="0" borderId="0" xfId="0" applyFont="1" applyBorder="1" applyProtection="1"/>
    <xf numFmtId="43" fontId="13" fillId="0" borderId="0" xfId="86" applyNumberFormat="1" applyFont="1" applyAlignment="1" applyProtection="1"/>
    <xf numFmtId="3" fontId="95" fillId="0" borderId="0" xfId="272" applyNumberFormat="1" applyFont="1" applyFill="1" applyAlignment="1" applyProtection="1">
      <alignment horizontal="right"/>
    </xf>
    <xf numFmtId="41" fontId="6" fillId="0" borderId="0" xfId="272" applyNumberFormat="1" applyFont="1" applyBorder="1" applyAlignment="1" applyProtection="1"/>
    <xf numFmtId="3" fontId="6" fillId="0" borderId="0" xfId="272" applyNumberFormat="1" applyFont="1" applyAlignment="1" applyProtection="1">
      <alignment vertical="center" wrapText="1"/>
    </xf>
    <xf numFmtId="41" fontId="95" fillId="0" borderId="0" xfId="272" applyNumberFormat="1" applyFont="1" applyFill="1" applyAlignment="1" applyProtection="1">
      <alignment horizontal="right"/>
    </xf>
    <xf numFmtId="3" fontId="6" fillId="0" borderId="0" xfId="272" applyNumberFormat="1" applyFont="1" applyAlignment="1" applyProtection="1">
      <alignment horizontal="center" vertical="center"/>
    </xf>
    <xf numFmtId="3" fontId="6" fillId="0" borderId="0" xfId="272" applyNumberFormat="1" applyFont="1" applyAlignment="1" applyProtection="1">
      <alignment vertical="center"/>
    </xf>
    <xf numFmtId="41" fontId="6" fillId="0" borderId="0" xfId="272" applyNumberFormat="1" applyFont="1" applyAlignment="1" applyProtection="1">
      <alignment vertical="center"/>
    </xf>
    <xf numFmtId="43" fontId="6" fillId="0" borderId="0" xfId="281" applyNumberFormat="1" applyFont="1" applyFill="1" applyAlignment="1" applyProtection="1"/>
    <xf numFmtId="166" fontId="6" fillId="0" borderId="0" xfId="272" applyNumberFormat="1" applyFont="1" applyAlignment="1" applyProtection="1"/>
    <xf numFmtId="167" fontId="6" fillId="0" borderId="0" xfId="272" applyNumberFormat="1" applyFont="1" applyAlignment="1" applyProtection="1"/>
    <xf numFmtId="172" fontId="24" fillId="0" borderId="0" xfId="272" applyFont="1" applyAlignment="1" applyProtection="1"/>
    <xf numFmtId="164" fontId="6" fillId="0" borderId="0" xfId="272" applyNumberFormat="1" applyFont="1" applyBorder="1" applyAlignment="1" applyProtection="1">
      <alignment horizontal="left"/>
    </xf>
    <xf numFmtId="168" fontId="6" fillId="0" borderId="0" xfId="272" applyNumberFormat="1" applyFont="1" applyAlignment="1" applyProtection="1"/>
    <xf numFmtId="10" fontId="6" fillId="0" borderId="0" xfId="272" applyNumberFormat="1" applyFont="1" applyFill="1" applyAlignment="1" applyProtection="1">
      <alignment horizontal="right"/>
    </xf>
    <xf numFmtId="10" fontId="33" fillId="0" borderId="0" xfId="281" applyNumberFormat="1" applyFont="1" applyProtection="1"/>
    <xf numFmtId="3" fontId="24" fillId="0" borderId="0" xfId="272" applyNumberFormat="1" applyFont="1" applyAlignment="1" applyProtection="1"/>
    <xf numFmtId="167" fontId="6" fillId="0" borderId="0" xfId="272" applyNumberFormat="1" applyFont="1" applyFill="1" applyAlignment="1" applyProtection="1"/>
    <xf numFmtId="166" fontId="6" fillId="0" borderId="0" xfId="272" applyNumberFormat="1" applyFont="1" applyAlignment="1" applyProtection="1">
      <alignment horizontal="center"/>
    </xf>
    <xf numFmtId="185" fontId="24" fillId="0" borderId="0" xfId="272" applyNumberFormat="1" applyFont="1" applyAlignment="1" applyProtection="1">
      <alignment horizontal="center"/>
    </xf>
    <xf numFmtId="186" fontId="6" fillId="0" borderId="0" xfId="272" applyNumberFormat="1" applyFont="1" applyAlignment="1" applyProtection="1"/>
    <xf numFmtId="164" fontId="6" fillId="0" borderId="0" xfId="272" applyNumberFormat="1" applyFont="1" applyFill="1" applyBorder="1" applyAlignment="1" applyProtection="1">
      <alignment horizontal="left"/>
    </xf>
    <xf numFmtId="178" fontId="6" fillId="0" borderId="0" xfId="272" applyNumberFormat="1" applyFont="1" applyFill="1" applyAlignment="1" applyProtection="1">
      <alignment horizontal="right"/>
    </xf>
    <xf numFmtId="184" fontId="6" fillId="0" borderId="0" xfId="86" applyNumberFormat="1" applyFont="1" applyAlignment="1" applyProtection="1">
      <alignment horizontal="center"/>
    </xf>
    <xf numFmtId="41" fontId="24" fillId="0" borderId="0" xfId="272" applyNumberFormat="1" applyFont="1" applyAlignment="1" applyProtection="1"/>
    <xf numFmtId="43" fontId="24" fillId="0" borderId="0" xfId="86" applyFont="1" applyAlignment="1" applyProtection="1"/>
    <xf numFmtId="178" fontId="6" fillId="0" borderId="0" xfId="272" applyNumberFormat="1" applyFont="1" applyAlignment="1" applyProtection="1">
      <alignment horizontal="center"/>
    </xf>
    <xf numFmtId="10" fontId="6" fillId="0" borderId="0" xfId="272" applyNumberFormat="1" applyFont="1" applyFill="1" applyAlignment="1" applyProtection="1">
      <alignment horizontal="left"/>
    </xf>
    <xf numFmtId="185" fontId="6" fillId="0" borderId="0" xfId="272" applyNumberFormat="1" applyFont="1" applyAlignment="1" applyProtection="1">
      <alignment horizontal="center"/>
    </xf>
    <xf numFmtId="168" fontId="6" fillId="0" borderId="0" xfId="272" applyNumberFormat="1" applyFont="1" applyFill="1" applyAlignment="1" applyProtection="1">
      <alignment horizontal="left"/>
    </xf>
    <xf numFmtId="41" fontId="6" fillId="0" borderId="0" xfId="272" applyNumberFormat="1" applyFont="1" applyAlignment="1" applyProtection="1">
      <alignment horizontal="right"/>
    </xf>
    <xf numFmtId="41" fontId="6" fillId="0" borderId="11" xfId="272" applyNumberFormat="1" applyFont="1" applyBorder="1" applyAlignment="1" applyProtection="1"/>
    <xf numFmtId="178" fontId="6" fillId="0" borderId="0" xfId="272" applyNumberFormat="1" applyFont="1" applyAlignment="1" applyProtection="1"/>
    <xf numFmtId="172" fontId="24" fillId="0" borderId="0" xfId="272" applyFont="1" applyFill="1" applyAlignment="1" applyProtection="1"/>
    <xf numFmtId="164" fontId="6" fillId="0" borderId="0" xfId="272" applyNumberFormat="1" applyFont="1" applyFill="1" applyBorder="1" applyAlignment="1" applyProtection="1">
      <alignment horizontal="left" vertical="center"/>
    </xf>
    <xf numFmtId="41" fontId="6" fillId="0" borderId="0" xfId="272" applyNumberFormat="1" applyFont="1" applyFill="1" applyAlignment="1" applyProtection="1">
      <alignment horizontal="center" vertical="center"/>
    </xf>
    <xf numFmtId="179" fontId="6" fillId="0" borderId="0" xfId="272" applyNumberFormat="1" applyFont="1" applyAlignment="1" applyProtection="1"/>
    <xf numFmtId="173" fontId="6" fillId="0" borderId="14" xfId="86" applyNumberFormat="1" applyFont="1" applyBorder="1" applyAlignment="1" applyProtection="1"/>
    <xf numFmtId="0" fontId="6" fillId="0" borderId="0" xfId="272" applyNumberFormat="1" applyFont="1" applyFill="1" applyBorder="1" applyAlignment="1" applyProtection="1">
      <alignment horizontal="left"/>
    </xf>
    <xf numFmtId="0" fontId="7" fillId="0" borderId="0" xfId="272" applyNumberFormat="1" applyFont="1" applyAlignment="1" applyProtection="1"/>
    <xf numFmtId="0" fontId="6" fillId="0" borderId="0" xfId="0" applyFont="1" applyFill="1" applyAlignment="1" applyProtection="1">
      <alignment horizontal="left"/>
    </xf>
    <xf numFmtId="0" fontId="6" fillId="0" borderId="0" xfId="272" applyNumberFormat="1" applyFont="1" applyFill="1" applyBorder="1" applyProtection="1"/>
    <xf numFmtId="3" fontId="6" fillId="0" borderId="0" xfId="272" applyNumberFormat="1" applyFont="1" applyFill="1" applyBorder="1" applyAlignment="1" applyProtection="1"/>
    <xf numFmtId="172" fontId="6" fillId="0" borderId="0" xfId="272" applyFont="1" applyFill="1" applyBorder="1" applyAlignment="1" applyProtection="1"/>
    <xf numFmtId="172" fontId="6" fillId="0" borderId="0" xfId="272" applyFont="1" applyFill="1" applyBorder="1" applyAlignment="1" applyProtection="1">
      <alignment horizontal="center"/>
    </xf>
    <xf numFmtId="173" fontId="6" fillId="0" borderId="6" xfId="86" applyNumberFormat="1" applyFont="1" applyBorder="1" applyAlignment="1" applyProtection="1"/>
    <xf numFmtId="3" fontId="6" fillId="0" borderId="0" xfId="272" applyNumberFormat="1" applyFont="1" applyFill="1" applyBorder="1" applyAlignment="1" applyProtection="1">
      <alignment horizontal="left"/>
    </xf>
    <xf numFmtId="0" fontId="6" fillId="0" borderId="0" xfId="272" applyNumberFormat="1" applyFont="1" applyFill="1" applyBorder="1" applyAlignment="1" applyProtection="1">
      <alignment horizontal="center"/>
    </xf>
    <xf numFmtId="49" fontId="6" fillId="0" borderId="0" xfId="272" applyNumberFormat="1" applyFont="1" applyFill="1" applyBorder="1" applyProtection="1"/>
    <xf numFmtId="49" fontId="6" fillId="0" borderId="0" xfId="272" applyNumberFormat="1" applyFont="1" applyFill="1" applyBorder="1" applyAlignment="1" applyProtection="1"/>
    <xf numFmtId="49" fontId="6" fillId="0" borderId="0" xfId="272" applyNumberFormat="1" applyFont="1" applyFill="1" applyBorder="1" applyAlignment="1" applyProtection="1">
      <alignment horizontal="center"/>
    </xf>
    <xf numFmtId="3" fontId="7" fillId="0" borderId="0" xfId="272" applyNumberFormat="1" applyFont="1" applyFill="1" applyBorder="1" applyAlignment="1" applyProtection="1"/>
    <xf numFmtId="165" fontId="7" fillId="0" borderId="0" xfId="272" applyNumberFormat="1" applyFont="1" applyFill="1" applyBorder="1" applyAlignment="1" applyProtection="1">
      <alignment horizontal="right"/>
    </xf>
    <xf numFmtId="0" fontId="7" fillId="0" borderId="0" xfId="272" applyNumberFormat="1" applyFont="1" applyFill="1" applyAlignment="1" applyProtection="1"/>
    <xf numFmtId="3" fontId="6" fillId="0" borderId="0" xfId="272" applyNumberFormat="1" applyFont="1" applyFill="1" applyProtection="1"/>
    <xf numFmtId="3" fontId="6" fillId="0" borderId="0" xfId="272" applyNumberFormat="1" applyFont="1" applyFill="1" applyAlignment="1" applyProtection="1">
      <alignment horizontal="center" wrapText="1"/>
    </xf>
    <xf numFmtId="4" fontId="6" fillId="0" borderId="0" xfId="272" applyNumberFormat="1" applyFont="1" applyAlignment="1" applyProtection="1"/>
    <xf numFmtId="173" fontId="6" fillId="0" borderId="6" xfId="86" applyNumberFormat="1" applyFont="1" applyFill="1" applyBorder="1" applyAlignment="1" applyProtection="1"/>
    <xf numFmtId="3" fontId="7" fillId="0" borderId="0" xfId="272" applyNumberFormat="1" applyFont="1" applyFill="1" applyAlignment="1" applyProtection="1">
      <alignment horizontal="center"/>
    </xf>
    <xf numFmtId="172" fontId="7" fillId="0" borderId="0" xfId="272" applyFont="1" applyAlignment="1" applyProtection="1">
      <alignment horizontal="right"/>
    </xf>
    <xf numFmtId="165" fontId="7" fillId="0" borderId="0" xfId="272" applyNumberFormat="1" applyFont="1" applyAlignment="1" applyProtection="1"/>
    <xf numFmtId="166" fontId="7" fillId="0" borderId="0" xfId="272" applyNumberFormat="1" applyFont="1" applyFill="1" applyProtection="1"/>
    <xf numFmtId="3" fontId="6" fillId="0" borderId="6" xfId="272" applyNumberFormat="1" applyFont="1" applyFill="1" applyBorder="1" applyAlignment="1" applyProtection="1">
      <alignment horizontal="center"/>
    </xf>
    <xf numFmtId="0" fontId="15" fillId="0" borderId="0" xfId="272" applyNumberFormat="1" applyFont="1" applyFill="1" applyBorder="1" applyAlignment="1" applyProtection="1">
      <alignment horizontal="left"/>
    </xf>
    <xf numFmtId="0" fontId="6" fillId="0" borderId="0" xfId="272" applyNumberFormat="1" applyFont="1" applyFill="1" applyAlignment="1" applyProtection="1">
      <alignment horizontal="left"/>
    </xf>
    <xf numFmtId="3" fontId="24" fillId="0" borderId="0" xfId="272" applyNumberFormat="1" applyFont="1" applyFill="1" applyAlignment="1" applyProtection="1"/>
    <xf numFmtId="180" fontId="6" fillId="0" borderId="0" xfId="86" applyNumberFormat="1" applyFont="1" applyFill="1" applyAlignment="1" applyProtection="1">
      <alignment horizontal="center"/>
    </xf>
    <xf numFmtId="0" fontId="6" fillId="0" borderId="6" xfId="272" applyNumberFormat="1" applyFont="1" applyFill="1" applyBorder="1" applyAlignment="1" applyProtection="1">
      <alignment horizontal="center"/>
    </xf>
    <xf numFmtId="180" fontId="6" fillId="0" borderId="6" xfId="86" applyNumberFormat="1" applyFont="1" applyFill="1" applyBorder="1" applyAlignment="1" applyProtection="1">
      <alignment horizontal="center"/>
    </xf>
    <xf numFmtId="10" fontId="6" fillId="0" borderId="0" xfId="272" applyNumberFormat="1" applyFont="1" applyFill="1" applyAlignment="1" applyProtection="1"/>
    <xf numFmtId="184" fontId="6" fillId="0" borderId="0" xfId="86" applyNumberFormat="1" applyFont="1" applyFill="1" applyAlignment="1" applyProtection="1"/>
    <xf numFmtId="169" fontId="6" fillId="0" borderId="15" xfId="272" applyNumberFormat="1" applyFont="1" applyFill="1" applyBorder="1" applyAlignment="1" applyProtection="1"/>
    <xf numFmtId="3" fontId="6" fillId="0" borderId="0" xfId="272" quotePrefix="1" applyNumberFormat="1" applyFont="1" applyAlignment="1" applyProtection="1"/>
    <xf numFmtId="169" fontId="6" fillId="0" borderId="0" xfId="272" applyNumberFormat="1" applyFont="1" applyFill="1" applyBorder="1" applyAlignment="1" applyProtection="1"/>
    <xf numFmtId="169" fontId="6" fillId="0" borderId="6" xfId="272" applyNumberFormat="1" applyFont="1" applyFill="1" applyBorder="1" applyAlignment="1" applyProtection="1"/>
    <xf numFmtId="180" fontId="23" fillId="0" borderId="0" xfId="86" applyNumberFormat="1" applyFont="1" applyFill="1" applyProtection="1"/>
    <xf numFmtId="169" fontId="7" fillId="0" borderId="0" xfId="272" applyNumberFormat="1" applyFont="1" applyFill="1" applyAlignment="1" applyProtection="1"/>
    <xf numFmtId="3" fontId="7" fillId="0" borderId="0" xfId="272" quotePrefix="1" applyNumberFormat="1" applyFont="1" applyAlignment="1" applyProtection="1"/>
    <xf numFmtId="172" fontId="6" fillId="0" borderId="0" xfId="272" applyFont="1" applyAlignment="1" applyProtection="1">
      <alignment horizontal="right"/>
    </xf>
    <xf numFmtId="172" fontId="6" fillId="0" borderId="0" xfId="272" applyNumberFormat="1" applyFont="1" applyAlignment="1" applyProtection="1"/>
    <xf numFmtId="172" fontId="11" fillId="0" borderId="0" xfId="272" applyFont="1" applyAlignment="1" applyProtection="1">
      <alignment horizontal="center"/>
    </xf>
    <xf numFmtId="172" fontId="4" fillId="0" borderId="0" xfId="272" applyFont="1" applyFill="1" applyAlignment="1" applyProtection="1">
      <alignment horizontal="center"/>
    </xf>
    <xf numFmtId="172" fontId="4" fillId="0" borderId="0" xfId="272" applyFont="1" applyFill="1" applyAlignment="1" applyProtection="1"/>
    <xf numFmtId="10" fontId="6" fillId="0" borderId="0" xfId="272" applyNumberFormat="1" applyFont="1" applyFill="1" applyProtection="1"/>
    <xf numFmtId="0" fontId="6" fillId="0" borderId="0" xfId="0" applyFont="1" applyFill="1" applyProtection="1"/>
    <xf numFmtId="0" fontId="6" fillId="0" borderId="0" xfId="0" applyFont="1" applyProtection="1"/>
    <xf numFmtId="0" fontId="13" fillId="0" borderId="0" xfId="0" applyFont="1" applyAlignment="1" applyProtection="1"/>
    <xf numFmtId="0" fontId="27" fillId="0" borderId="0" xfId="272" applyNumberFormat="1" applyFont="1" applyFill="1" applyAlignment="1" applyProtection="1"/>
    <xf numFmtId="0" fontId="115" fillId="0" borderId="0" xfId="272" applyNumberFormat="1" applyFont="1" applyFill="1" applyAlignment="1" applyProtection="1"/>
    <xf numFmtId="0" fontId="27" fillId="0" borderId="0" xfId="272" applyNumberFormat="1" applyFont="1" applyFill="1" applyProtection="1"/>
    <xf numFmtId="172" fontId="27" fillId="0" borderId="0" xfId="272" applyFont="1" applyFill="1" applyAlignment="1" applyProtection="1"/>
    <xf numFmtId="0" fontId="27" fillId="0" borderId="0" xfId="0" applyFont="1" applyAlignment="1" applyProtection="1">
      <alignment vertical="top" wrapText="1"/>
    </xf>
    <xf numFmtId="172" fontId="27" fillId="0" borderId="0" xfId="272" applyFont="1" applyFill="1" applyAlignment="1" applyProtection="1">
      <alignment wrapText="1"/>
    </xf>
    <xf numFmtId="172" fontId="115" fillId="0" borderId="0" xfId="272" applyFont="1" applyFill="1" applyAlignment="1" applyProtection="1"/>
    <xf numFmtId="0" fontId="4" fillId="0" borderId="0" xfId="272" applyNumberFormat="1" applyFont="1" applyFill="1" applyProtection="1"/>
    <xf numFmtId="0" fontId="85" fillId="0" borderId="0" xfId="272" applyNumberFormat="1" applyFont="1" applyFill="1" applyAlignment="1" applyProtection="1">
      <alignment horizontal="center"/>
    </xf>
    <xf numFmtId="0" fontId="0" fillId="0" borderId="0" xfId="0" applyAlignment="1" applyProtection="1">
      <alignment wrapText="1"/>
    </xf>
    <xf numFmtId="0" fontId="6" fillId="0" borderId="0" xfId="0" applyFont="1" applyAlignment="1" applyProtection="1">
      <alignment horizontal="center"/>
    </xf>
    <xf numFmtId="0" fontId="6" fillId="0" borderId="0" xfId="222" applyFont="1" applyBorder="1" applyAlignment="1" applyProtection="1">
      <alignment horizontal="center"/>
    </xf>
    <xf numFmtId="49" fontId="6" fillId="0" borderId="0" xfId="263" applyNumberFormat="1" applyFont="1" applyAlignment="1" applyProtection="1">
      <alignment horizontal="center"/>
    </xf>
    <xf numFmtId="0" fontId="18" fillId="0" borderId="0" xfId="0" applyFont="1" applyFill="1" applyAlignment="1" applyProtection="1">
      <alignment horizontal="center"/>
    </xf>
    <xf numFmtId="0" fontId="10" fillId="0" borderId="0" xfId="0" applyFont="1" applyFill="1" applyAlignment="1" applyProtection="1">
      <alignment horizontal="center"/>
    </xf>
    <xf numFmtId="0" fontId="0" fillId="0" borderId="0" xfId="0" applyFill="1" applyAlignment="1" applyProtection="1">
      <alignment horizontal="center"/>
    </xf>
    <xf numFmtId="0" fontId="3" fillId="0" borderId="0" xfId="0" applyFont="1" applyFill="1" applyProtection="1"/>
    <xf numFmtId="0" fontId="3"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3" fillId="0" borderId="0" xfId="0" applyFont="1" applyProtection="1"/>
    <xf numFmtId="174" fontId="13" fillId="0" borderId="0" xfId="86" applyNumberFormat="1" applyFont="1" applyFill="1" applyProtection="1"/>
    <xf numFmtId="174" fontId="0" fillId="0" borderId="0" xfId="0" applyNumberFormat="1" applyProtection="1"/>
    <xf numFmtId="0" fontId="4" fillId="0" borderId="0" xfId="0" applyFont="1" applyProtection="1"/>
    <xf numFmtId="0" fontId="4" fillId="0" borderId="0" xfId="0" applyFont="1" applyAlignment="1" applyProtection="1"/>
    <xf numFmtId="3" fontId="5" fillId="0" borderId="0" xfId="0" applyNumberFormat="1" applyFont="1" applyAlignment="1" applyProtection="1">
      <alignment horizontal="center"/>
    </xf>
    <xf numFmtId="0" fontId="4" fillId="0" borderId="0" xfId="276" applyFont="1" applyProtection="1"/>
    <xf numFmtId="0" fontId="4" fillId="0" borderId="0" xfId="276" applyFont="1" applyAlignment="1" applyProtection="1">
      <alignment horizontal="right"/>
    </xf>
    <xf numFmtId="0" fontId="11" fillId="0" borderId="0" xfId="276" applyFont="1" applyAlignment="1" applyProtection="1">
      <alignment horizontal="center"/>
    </xf>
    <xf numFmtId="0" fontId="27" fillId="0" borderId="0" xfId="0" applyFont="1" applyProtection="1"/>
    <xf numFmtId="0" fontId="6" fillId="0" borderId="0" xfId="276" applyFont="1" applyProtection="1"/>
    <xf numFmtId="0" fontId="81" fillId="0" borderId="0" xfId="276" applyFont="1" applyProtection="1"/>
    <xf numFmtId="0" fontId="27" fillId="0" borderId="0" xfId="0" applyFont="1" applyAlignment="1" applyProtection="1">
      <alignment horizontal="center"/>
    </xf>
    <xf numFmtId="0" fontId="11" fillId="0" borderId="0" xfId="276" applyFont="1" applyBorder="1" applyAlignment="1" applyProtection="1">
      <alignment horizontal="center"/>
    </xf>
    <xf numFmtId="0" fontId="4" fillId="0" borderId="0" xfId="0" applyFont="1" applyFill="1" applyProtection="1"/>
    <xf numFmtId="0" fontId="4" fillId="0" borderId="0" xfId="0" applyFont="1" applyAlignment="1" applyProtection="1">
      <alignment horizontal="right"/>
    </xf>
    <xf numFmtId="0" fontId="7" fillId="0" borderId="0" xfId="276" applyFont="1" applyFill="1" applyProtection="1"/>
    <xf numFmtId="0" fontId="27" fillId="0" borderId="0" xfId="276" applyFont="1" applyAlignment="1" applyProtection="1">
      <alignment horizontal="center"/>
    </xf>
    <xf numFmtId="0" fontId="10" fillId="0" borderId="0" xfId="276" applyFont="1" applyFill="1" applyAlignment="1" applyProtection="1">
      <alignment horizontal="center"/>
    </xf>
    <xf numFmtId="0" fontId="10" fillId="0" borderId="0" xfId="276" applyFont="1" applyFill="1" applyProtection="1"/>
    <xf numFmtId="0" fontId="13" fillId="0" borderId="0" xfId="276" applyFont="1" applyProtection="1"/>
    <xf numFmtId="173" fontId="13" fillId="0" borderId="0" xfId="276" applyNumberFormat="1" applyFont="1" applyFill="1" applyProtection="1"/>
    <xf numFmtId="0" fontId="104" fillId="0" borderId="0" xfId="0" applyFont="1" applyFill="1" applyProtection="1"/>
    <xf numFmtId="0" fontId="13" fillId="0" borderId="0" xfId="0" applyFont="1" applyAlignment="1" applyProtection="1">
      <alignment horizontal="center"/>
    </xf>
    <xf numFmtId="0" fontId="104" fillId="0" borderId="0" xfId="0" applyFont="1" applyProtection="1"/>
    <xf numFmtId="0" fontId="96" fillId="0" borderId="0" xfId="276" applyFont="1" applyFill="1" applyAlignment="1" applyProtection="1">
      <alignment horizontal="center"/>
    </xf>
    <xf numFmtId="0" fontId="96" fillId="0" borderId="0" xfId="276" applyFont="1" applyFill="1" applyProtection="1"/>
    <xf numFmtId="0" fontId="103" fillId="0" borderId="0" xfId="0" applyFont="1" applyProtection="1"/>
    <xf numFmtId="0" fontId="103" fillId="0" borderId="0" xfId="276" applyFont="1" applyProtection="1"/>
    <xf numFmtId="172" fontId="13" fillId="0" borderId="0" xfId="276" applyNumberFormat="1" applyFont="1" applyFill="1" applyAlignment="1" applyProtection="1">
      <alignment horizontal="center"/>
    </xf>
    <xf numFmtId="0" fontId="13" fillId="0" borderId="0" xfId="276" applyFont="1" applyFill="1" applyProtection="1"/>
    <xf numFmtId="0" fontId="10" fillId="0" borderId="0" xfId="276" applyFont="1" applyProtection="1"/>
    <xf numFmtId="0" fontId="96" fillId="0" borderId="0" xfId="276" applyFont="1" applyProtection="1"/>
    <xf numFmtId="43" fontId="13" fillId="0" borderId="0" xfId="121" applyFont="1" applyFill="1" applyProtection="1"/>
    <xf numFmtId="43" fontId="103" fillId="0" borderId="0" xfId="121" applyFont="1" applyFill="1" applyProtection="1"/>
    <xf numFmtId="183" fontId="13" fillId="0" borderId="0" xfId="0" applyNumberFormat="1" applyFont="1" applyProtection="1"/>
    <xf numFmtId="0" fontId="13" fillId="0" borderId="0" xfId="0" applyFont="1" applyFill="1" applyProtection="1"/>
    <xf numFmtId="173" fontId="13" fillId="0" borderId="13" xfId="0" applyNumberFormat="1" applyFont="1" applyBorder="1" applyProtection="1"/>
    <xf numFmtId="173" fontId="13" fillId="0" borderId="0" xfId="276" applyNumberFormat="1" applyFont="1" applyProtection="1"/>
    <xf numFmtId="173" fontId="13" fillId="0" borderId="0" xfId="276" applyNumberFormat="1" applyFont="1" applyBorder="1" applyProtection="1"/>
    <xf numFmtId="173" fontId="13" fillId="0" borderId="13" xfId="276" applyNumberFormat="1" applyFont="1" applyBorder="1" applyProtection="1"/>
    <xf numFmtId="0" fontId="6" fillId="0" borderId="0" xfId="276" applyFont="1" applyFill="1" applyProtection="1"/>
    <xf numFmtId="173" fontId="6" fillId="0" borderId="0" xfId="276" applyNumberFormat="1" applyFont="1" applyFill="1" applyBorder="1" applyProtection="1"/>
    <xf numFmtId="0" fontId="13" fillId="0" borderId="0" xfId="0" applyFont="1" applyAlignment="1" applyProtection="1">
      <alignment vertical="top" wrapText="1"/>
    </xf>
    <xf numFmtId="0" fontId="27" fillId="0" borderId="0" xfId="0" applyFont="1" applyFill="1" applyProtection="1"/>
    <xf numFmtId="0" fontId="7" fillId="0" borderId="0" xfId="0" applyFont="1" applyFill="1" applyBorder="1" applyAlignment="1" applyProtection="1">
      <alignment horizontal="center"/>
    </xf>
    <xf numFmtId="0" fontId="10" fillId="0" borderId="0" xfId="0" applyFont="1" applyFill="1" applyBorder="1" applyAlignment="1" applyProtection="1">
      <alignment horizontal="center"/>
    </xf>
    <xf numFmtId="173" fontId="7" fillId="0" borderId="0" xfId="0" applyNumberFormat="1" applyFont="1" applyFill="1" applyBorder="1" applyAlignment="1" applyProtection="1">
      <alignment horizontal="center"/>
    </xf>
    <xf numFmtId="0" fontId="13" fillId="0" borderId="0" xfId="0" applyFont="1" applyBorder="1" applyProtection="1"/>
    <xf numFmtId="173" fontId="3" fillId="0" borderId="0" xfId="86" applyNumberFormat="1" applyProtection="1"/>
    <xf numFmtId="0" fontId="12" fillId="0" borderId="0" xfId="0" applyFont="1" applyFill="1" applyProtection="1"/>
    <xf numFmtId="0" fontId="19" fillId="0" borderId="0" xfId="0" applyFont="1" applyFill="1" applyAlignment="1" applyProtection="1">
      <alignment horizontal="right"/>
    </xf>
    <xf numFmtId="0" fontId="19" fillId="0" borderId="0" xfId="0" applyFont="1" applyFill="1" applyAlignment="1" applyProtection="1">
      <alignment horizontal="left"/>
    </xf>
    <xf numFmtId="0" fontId="19" fillId="0" borderId="0" xfId="0" applyFont="1" applyFill="1" applyBorder="1" applyAlignment="1" applyProtection="1">
      <alignment horizontal="right"/>
    </xf>
    <xf numFmtId="0" fontId="5" fillId="0" borderId="0" xfId="0" applyFont="1" applyFill="1" applyProtection="1"/>
    <xf numFmtId="0" fontId="67" fillId="0" borderId="0" xfId="0" applyFont="1" applyFill="1" applyProtection="1"/>
    <xf numFmtId="0" fontId="7" fillId="0" borderId="0" xfId="0" applyFont="1" applyAlignment="1" applyProtection="1">
      <alignment horizontal="left"/>
    </xf>
    <xf numFmtId="0" fontId="13" fillId="0" borderId="0" xfId="272" applyNumberFormat="1" applyFont="1" applyFill="1" applyBorder="1" applyAlignment="1" applyProtection="1"/>
    <xf numFmtId="3" fontId="13" fillId="0" borderId="0" xfId="272" applyNumberFormat="1" applyFont="1" applyAlignment="1" applyProtection="1"/>
    <xf numFmtId="10" fontId="3" fillId="0" borderId="0" xfId="281" applyNumberFormat="1" applyAlignment="1" applyProtection="1">
      <alignment horizontal="right"/>
    </xf>
    <xf numFmtId="172" fontId="13" fillId="0" borderId="0" xfId="272" applyFont="1" applyAlignment="1" applyProtection="1"/>
    <xf numFmtId="172" fontId="13" fillId="0" borderId="0" xfId="272" applyFont="1" applyBorder="1" applyAlignment="1" applyProtection="1"/>
    <xf numFmtId="3" fontId="13" fillId="0" borderId="0" xfId="272" applyNumberFormat="1" applyFont="1" applyFill="1" applyAlignment="1" applyProtection="1"/>
    <xf numFmtId="10" fontId="13" fillId="0" borderId="0" xfId="281" applyNumberFormat="1" applyFont="1" applyFill="1" applyAlignment="1" applyProtection="1">
      <alignment horizontal="right"/>
    </xf>
    <xf numFmtId="3" fontId="10" fillId="0" borderId="0" xfId="272" applyNumberFormat="1" applyFont="1" applyAlignment="1" applyProtection="1"/>
    <xf numFmtId="10" fontId="13" fillId="0" borderId="0" xfId="272" applyNumberFormat="1" applyFont="1" applyFill="1" applyAlignment="1" applyProtection="1">
      <alignment horizontal="right"/>
    </xf>
    <xf numFmtId="3" fontId="14" fillId="0" borderId="0" xfId="272" applyNumberFormat="1" applyFont="1" applyAlignment="1" applyProtection="1">
      <alignment horizontal="center"/>
    </xf>
    <xf numFmtId="10" fontId="14" fillId="0" borderId="0" xfId="272" applyNumberFormat="1" applyFont="1" applyFill="1" applyAlignment="1" applyProtection="1">
      <alignment horizontal="center"/>
    </xf>
    <xf numFmtId="0" fontId="13" fillId="0" borderId="0" xfId="272"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3" fillId="0" borderId="0" xfId="281" applyNumberFormat="1" applyFont="1" applyAlignment="1" applyProtection="1"/>
    <xf numFmtId="166" fontId="13" fillId="0" borderId="0" xfId="272" applyNumberFormat="1" applyFont="1" applyAlignment="1" applyProtection="1">
      <alignment horizontal="center"/>
    </xf>
    <xf numFmtId="166" fontId="13" fillId="0" borderId="0" xfId="272" applyNumberFormat="1" applyFont="1" applyBorder="1" applyAlignment="1" applyProtection="1">
      <alignment horizontal="center"/>
    </xf>
    <xf numFmtId="41" fontId="13" fillId="0" borderId="0" xfId="272" applyNumberFormat="1" applyFont="1" applyAlignment="1" applyProtection="1"/>
    <xf numFmtId="41" fontId="13" fillId="0" borderId="0" xfId="272" applyNumberFormat="1" applyFont="1" applyAlignment="1" applyProtection="1">
      <alignment horizontal="center"/>
    </xf>
    <xf numFmtId="41" fontId="13" fillId="0" borderId="0" xfId="272" applyNumberFormat="1" applyFont="1" applyBorder="1" applyAlignment="1" applyProtection="1">
      <alignment horizontal="center"/>
    </xf>
    <xf numFmtId="0" fontId="13" fillId="0" borderId="0" xfId="272" applyNumberFormat="1" applyFont="1" applyBorder="1" applyAlignment="1" applyProtection="1">
      <alignment horizontal="right"/>
    </xf>
    <xf numFmtId="164" fontId="14" fillId="0" borderId="0" xfId="281" applyNumberFormat="1" applyFont="1" applyAlignment="1" applyProtection="1"/>
    <xf numFmtId="0" fontId="13" fillId="0" borderId="0" xfId="272" applyNumberFormat="1" applyFont="1" applyBorder="1" applyAlignment="1" applyProtection="1"/>
    <xf numFmtId="3" fontId="13" fillId="0" borderId="0" xfId="272" applyNumberFormat="1" applyFont="1" applyAlignment="1" applyProtection="1">
      <alignment horizontal="right"/>
    </xf>
    <xf numFmtId="172" fontId="3" fillId="0" borderId="17" xfId="272" applyFont="1" applyBorder="1" applyAlignment="1" applyProtection="1"/>
    <xf numFmtId="0" fontId="3" fillId="0" borderId="0" xfId="272" applyNumberFormat="1" applyFont="1" applyBorder="1" applyAlignment="1" applyProtection="1">
      <alignment horizontal="center"/>
    </xf>
    <xf numFmtId="172" fontId="3" fillId="0" borderId="0" xfId="272" applyFont="1" applyBorder="1" applyAlignment="1" applyProtection="1"/>
    <xf numFmtId="3" fontId="3" fillId="0" borderId="18" xfId="272" applyNumberFormat="1" applyFont="1" applyBorder="1" applyAlignment="1" applyProtection="1"/>
    <xf numFmtId="10" fontId="13" fillId="0" borderId="0" xfId="272" applyNumberFormat="1" applyFont="1" applyFill="1" applyAlignment="1" applyProtection="1">
      <alignment horizontal="left"/>
    </xf>
    <xf numFmtId="41" fontId="13" fillId="0" borderId="0" xfId="272" applyNumberFormat="1" applyFont="1" applyBorder="1" applyAlignment="1" applyProtection="1"/>
    <xf numFmtId="0" fontId="3" fillId="0" borderId="17" xfId="0" applyFont="1" applyBorder="1" applyProtection="1"/>
    <xf numFmtId="0" fontId="3" fillId="0" borderId="0" xfId="0" applyFont="1" applyBorder="1" applyProtection="1"/>
    <xf numFmtId="0" fontId="3" fillId="0" borderId="18" xfId="0" applyFont="1" applyBorder="1" applyProtection="1"/>
    <xf numFmtId="41" fontId="13" fillId="0" borderId="0" xfId="272" applyNumberFormat="1" applyFont="1" applyFill="1" applyAlignment="1" applyProtection="1"/>
    <xf numFmtId="166" fontId="3" fillId="0" borderId="19" xfId="272" applyNumberFormat="1" applyFont="1" applyBorder="1" applyAlignment="1" applyProtection="1">
      <alignment horizontal="center"/>
    </xf>
    <xf numFmtId="0" fontId="3" fillId="0" borderId="6" xfId="272" applyNumberFormat="1" applyFont="1" applyBorder="1" applyAlignment="1" applyProtection="1">
      <alignment horizontal="center"/>
    </xf>
    <xf numFmtId="174" fontId="3" fillId="0" borderId="20" xfId="0" applyNumberFormat="1" applyFont="1" applyBorder="1" applyProtection="1"/>
    <xf numFmtId="41" fontId="3" fillId="0" borderId="0" xfId="272" applyNumberFormat="1" applyFont="1" applyBorder="1" applyAlignment="1" applyProtection="1"/>
    <xf numFmtId="0" fontId="13" fillId="26" borderId="0" xfId="272" applyNumberFormat="1" applyFont="1" applyFill="1" applyBorder="1" applyAlignment="1" applyProtection="1"/>
    <xf numFmtId="41" fontId="13" fillId="0" borderId="0" xfId="272" applyNumberFormat="1" applyFont="1" applyFill="1" applyAlignment="1" applyProtection="1">
      <alignment horizontal="left"/>
    </xf>
    <xf numFmtId="41" fontId="3" fillId="0" borderId="0" xfId="272" applyNumberFormat="1" applyFont="1" applyFill="1" applyBorder="1" applyAlignment="1" applyProtection="1">
      <alignment horizontal="right"/>
    </xf>
    <xf numFmtId="167" fontId="13" fillId="0" borderId="0" xfId="272" applyNumberFormat="1" applyFont="1" applyAlignment="1" applyProtection="1"/>
    <xf numFmtId="164" fontId="13" fillId="0" borderId="0" xfId="272" applyNumberFormat="1" applyFont="1" applyFill="1" applyBorder="1" applyAlignment="1" applyProtection="1">
      <alignment horizontal="left"/>
    </xf>
    <xf numFmtId="164" fontId="13" fillId="0" borderId="0" xfId="272" applyNumberFormat="1" applyFont="1" applyBorder="1" applyAlignment="1" applyProtection="1">
      <alignment horizontal="left"/>
    </xf>
    <xf numFmtId="3" fontId="13" fillId="0" borderId="0" xfId="272" applyNumberFormat="1" applyFont="1" applyAlignment="1" applyProtection="1">
      <alignment vertical="center" wrapText="1"/>
    </xf>
    <xf numFmtId="41" fontId="13" fillId="0" borderId="0" xfId="272" applyNumberFormat="1" applyFont="1" applyBorder="1" applyAlignment="1" applyProtection="1">
      <alignment vertical="center"/>
    </xf>
    <xf numFmtId="41" fontId="13" fillId="0" borderId="0" xfId="272" applyNumberFormat="1" applyFont="1" applyBorder="1" applyAlignment="1" applyProtection="1">
      <alignment horizontal="center" vertical="center"/>
    </xf>
    <xf numFmtId="41" fontId="13" fillId="0" borderId="0" xfId="272" applyNumberFormat="1" applyFont="1" applyAlignment="1" applyProtection="1">
      <alignment horizontal="right"/>
    </xf>
    <xf numFmtId="10" fontId="13" fillId="0" borderId="0" xfId="0" applyNumberFormat="1" applyFont="1" applyProtection="1"/>
    <xf numFmtId="173" fontId="13" fillId="0" borderId="0" xfId="86" applyNumberFormat="1" applyFont="1" applyProtection="1"/>
    <xf numFmtId="41" fontId="13" fillId="0" borderId="0" xfId="0" applyNumberFormat="1" applyFont="1" applyProtection="1"/>
    <xf numFmtId="41" fontId="13" fillId="0" borderId="0" xfId="272" applyNumberFormat="1" applyFont="1" applyFill="1" applyBorder="1" applyAlignment="1" applyProtection="1"/>
    <xf numFmtId="41" fontId="13" fillId="0" borderId="11" xfId="272" applyNumberFormat="1" applyFont="1" applyFill="1" applyBorder="1" applyAlignment="1" applyProtection="1"/>
    <xf numFmtId="3" fontId="13" fillId="0" borderId="0" xfId="272" applyNumberFormat="1" applyFont="1" applyFill="1" applyBorder="1" applyAlignment="1" applyProtection="1"/>
    <xf numFmtId="41" fontId="13" fillId="0" borderId="0" xfId="272" applyNumberFormat="1" applyFont="1" applyFill="1" applyBorder="1" applyAlignment="1" applyProtection="1">
      <alignment horizontal="center"/>
    </xf>
    <xf numFmtId="0" fontId="13" fillId="0" borderId="0" xfId="272" applyNumberFormat="1" applyFont="1" applyFill="1" applyBorder="1" applyProtection="1"/>
    <xf numFmtId="41" fontId="14" fillId="0" borderId="0" xfId="272" applyNumberFormat="1" applyFont="1" applyFill="1" applyBorder="1" applyAlignment="1" applyProtection="1"/>
    <xf numFmtId="3" fontId="13" fillId="0" borderId="0" xfId="272" applyNumberFormat="1" applyFont="1" applyFill="1" applyBorder="1" applyAlignment="1" applyProtection="1">
      <alignment horizontal="center"/>
    </xf>
    <xf numFmtId="0" fontId="13" fillId="0" borderId="0" xfId="0" applyFont="1" applyFill="1" applyBorder="1" applyProtection="1"/>
    <xf numFmtId="0" fontId="13" fillId="0" borderId="0" xfId="272" applyNumberFormat="1" applyFont="1" applyFill="1" applyBorder="1" applyAlignment="1" applyProtection="1">
      <alignment horizontal="center"/>
    </xf>
    <xf numFmtId="10" fontId="13" fillId="0" borderId="0" xfId="272" applyNumberFormat="1" applyFont="1" applyFill="1" applyBorder="1" applyAlignment="1" applyProtection="1"/>
    <xf numFmtId="169" fontId="13" fillId="0" borderId="0" xfId="272" applyNumberFormat="1" applyFont="1" applyFill="1" applyBorder="1" applyAlignment="1" applyProtection="1"/>
    <xf numFmtId="172" fontId="13" fillId="0" borderId="0" xfId="272" applyFont="1" applyFill="1" applyBorder="1" applyAlignment="1" applyProtection="1"/>
    <xf numFmtId="169" fontId="10" fillId="0" borderId="0" xfId="272" applyNumberFormat="1" applyFont="1" applyFill="1" applyBorder="1" applyAlignment="1" applyProtection="1"/>
    <xf numFmtId="0" fontId="13" fillId="0" borderId="0" xfId="0" applyFont="1" applyFill="1" applyBorder="1" applyAlignment="1" applyProtection="1">
      <alignment horizontal="center"/>
    </xf>
    <xf numFmtId="41" fontId="13" fillId="0" borderId="0" xfId="0" applyNumberFormat="1" applyFont="1" applyFill="1" applyBorder="1" applyProtection="1"/>
    <xf numFmtId="173" fontId="13" fillId="0" borderId="0" xfId="86" applyNumberFormat="1" applyFont="1" applyFill="1" applyBorder="1" applyProtection="1"/>
    <xf numFmtId="41" fontId="14" fillId="0" borderId="0" xfId="0" applyNumberFormat="1" applyFont="1" applyProtection="1"/>
    <xf numFmtId="180" fontId="13" fillId="0" borderId="0" xfId="86" applyNumberFormat="1" applyFont="1" applyProtection="1"/>
    <xf numFmtId="10" fontId="14" fillId="0" borderId="0" xfId="0" applyNumberFormat="1" applyFont="1" applyProtection="1"/>
    <xf numFmtId="0" fontId="13" fillId="26" borderId="0" xfId="0" applyFont="1" applyFill="1" applyBorder="1" applyProtection="1"/>
    <xf numFmtId="173" fontId="13" fillId="0" borderId="0" xfId="86" applyNumberFormat="1" applyFont="1" applyFill="1" applyProtection="1"/>
    <xf numFmtId="173" fontId="13" fillId="0" borderId="0" xfId="86" applyNumberFormat="1" applyFont="1" applyBorder="1" applyProtection="1"/>
    <xf numFmtId="43" fontId="13" fillId="0" borderId="0" xfId="86" applyFont="1" applyProtection="1"/>
    <xf numFmtId="173" fontId="13" fillId="0" borderId="0" xfId="0" applyNumberFormat="1" applyFont="1" applyProtection="1"/>
    <xf numFmtId="0" fontId="69" fillId="0" borderId="0" xfId="0" applyFont="1" applyFill="1" applyProtection="1"/>
    <xf numFmtId="173" fontId="13" fillId="0" borderId="0" xfId="0" applyNumberFormat="1" applyFont="1" applyBorder="1" applyProtection="1"/>
    <xf numFmtId="174" fontId="13" fillId="0" borderId="0" xfId="0" applyNumberFormat="1" applyFont="1" applyBorder="1" applyProtection="1"/>
    <xf numFmtId="0" fontId="12" fillId="0" borderId="0" xfId="0" applyFont="1" applyProtection="1"/>
    <xf numFmtId="0" fontId="19" fillId="0" borderId="0" xfId="0" applyFont="1" applyAlignment="1" applyProtection="1">
      <alignment horizontal="right"/>
    </xf>
    <xf numFmtId="0" fontId="7" fillId="0" borderId="0" xfId="0" applyFont="1" applyFill="1" applyProtection="1"/>
    <xf numFmtId="0" fontId="10" fillId="0" borderId="21" xfId="0" applyFont="1" applyBorder="1" applyProtection="1"/>
    <xf numFmtId="0" fontId="10" fillId="0" borderId="15" xfId="0" applyFont="1" applyBorder="1" applyProtection="1"/>
    <xf numFmtId="0" fontId="13" fillId="0" borderId="15" xfId="0" applyFont="1" applyBorder="1" applyProtection="1"/>
    <xf numFmtId="0" fontId="6" fillId="0" borderId="0" xfId="86" applyNumberFormat="1" applyFont="1" applyFill="1" applyAlignment="1" applyProtection="1">
      <alignment horizontal="left"/>
    </xf>
    <xf numFmtId="0" fontId="6" fillId="0" borderId="0" xfId="86" applyNumberFormat="1" applyFont="1" applyFill="1" applyBorder="1" applyAlignment="1" applyProtection="1">
      <alignment horizontal="left"/>
    </xf>
    <xf numFmtId="0" fontId="10" fillId="0" borderId="17" xfId="0" applyFont="1" applyBorder="1" applyProtection="1"/>
    <xf numFmtId="0" fontId="10" fillId="0" borderId="0" xfId="0" applyFont="1" applyFill="1" applyProtection="1"/>
    <xf numFmtId="173" fontId="13" fillId="0" borderId="20" xfId="86" applyNumberFormat="1" applyFont="1" applyBorder="1" applyProtection="1"/>
    <xf numFmtId="0" fontId="8" fillId="0" borderId="0" xfId="0" applyFont="1" applyFill="1" applyProtection="1"/>
    <xf numFmtId="173" fontId="23" fillId="0" borderId="0" xfId="0" applyNumberFormat="1" applyFont="1" applyAlignment="1" applyProtection="1">
      <alignment horizontal="left"/>
    </xf>
    <xf numFmtId="0" fontId="13" fillId="0" borderId="0" xfId="0" applyFont="1" applyFill="1" applyAlignment="1" applyProtection="1">
      <alignment wrapText="1"/>
    </xf>
    <xf numFmtId="0" fontId="8" fillId="0" borderId="0" xfId="0" applyFont="1" applyFill="1" applyAlignment="1" applyProtection="1"/>
    <xf numFmtId="0" fontId="13" fillId="0" borderId="0" xfId="0" applyFont="1" applyFill="1" applyAlignment="1" applyProtection="1"/>
    <xf numFmtId="0" fontId="13" fillId="0" borderId="0" xfId="0" applyFont="1" applyFill="1" applyBorder="1" applyAlignment="1" applyProtection="1">
      <alignment wrapText="1"/>
    </xf>
    <xf numFmtId="0" fontId="0" fillId="26" borderId="0" xfId="0" applyFill="1" applyProtection="1"/>
    <xf numFmtId="0" fontId="13"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3" fillId="0" borderId="0" xfId="0" applyFont="1" applyBorder="1" applyAlignment="1" applyProtection="1"/>
    <xf numFmtId="0" fontId="13" fillId="0" borderId="0" xfId="0" applyFont="1" applyFill="1" applyBorder="1" applyAlignment="1" applyProtection="1"/>
    <xf numFmtId="0" fontId="13" fillId="0" borderId="17" xfId="0" applyFont="1" applyFill="1" applyBorder="1" applyProtection="1"/>
    <xf numFmtId="0" fontId="13" fillId="0" borderId="0" xfId="0" applyFont="1" applyBorder="1" applyAlignment="1" applyProtection="1">
      <alignment horizontal="center"/>
    </xf>
    <xf numFmtId="0" fontId="10" fillId="0" borderId="25" xfId="0" applyFont="1" applyFill="1" applyBorder="1" applyAlignment="1" applyProtection="1">
      <alignment horizontal="center"/>
    </xf>
    <xf numFmtId="173" fontId="13" fillId="0" borderId="0" xfId="0" applyNumberFormat="1" applyFont="1" applyFill="1" applyBorder="1" applyAlignment="1" applyProtection="1">
      <alignment horizontal="right"/>
    </xf>
    <xf numFmtId="10" fontId="13" fillId="0" borderId="18" xfId="0" applyNumberFormat="1" applyFont="1" applyBorder="1" applyProtection="1"/>
    <xf numFmtId="10" fontId="13" fillId="0" borderId="0" xfId="0" applyNumberFormat="1" applyFont="1" applyFill="1" applyBorder="1" applyProtection="1"/>
    <xf numFmtId="173" fontId="13" fillId="0" borderId="18" xfId="0" applyNumberFormat="1" applyFont="1" applyFill="1" applyBorder="1" applyAlignment="1" applyProtection="1">
      <alignment horizontal="right"/>
    </xf>
    <xf numFmtId="10" fontId="13" fillId="0" borderId="0" xfId="0" applyNumberFormat="1" applyFont="1" applyBorder="1" applyProtection="1"/>
    <xf numFmtId="0" fontId="13" fillId="0" borderId="19" xfId="0" applyFont="1" applyBorder="1" applyProtection="1"/>
    <xf numFmtId="0" fontId="13" fillId="0" borderId="6" xfId="0" applyFont="1" applyBorder="1" applyAlignment="1" applyProtection="1">
      <alignment horizontal="center"/>
    </xf>
    <xf numFmtId="0" fontId="0" fillId="0" borderId="6" xfId="0" applyBorder="1" applyProtection="1"/>
    <xf numFmtId="0" fontId="10" fillId="0" borderId="26" xfId="0" applyFont="1" applyBorder="1" applyAlignment="1" applyProtection="1">
      <alignment horizontal="center" wrapText="1"/>
    </xf>
    <xf numFmtId="173" fontId="10" fillId="0" borderId="0" xfId="86" applyNumberFormat="1" applyFont="1" applyBorder="1" applyAlignment="1" applyProtection="1">
      <alignment horizontal="center" wrapText="1"/>
    </xf>
    <xf numFmtId="173" fontId="10" fillId="0" borderId="26" xfId="86" applyNumberFormat="1" applyFont="1" applyBorder="1" applyAlignment="1" applyProtection="1">
      <alignment horizontal="center" wrapText="1"/>
    </xf>
    <xf numFmtId="173" fontId="10" fillId="0" borderId="25" xfId="86" applyNumberFormat="1" applyFont="1" applyBorder="1" applyAlignment="1" applyProtection="1">
      <alignment horizontal="center" wrapText="1"/>
    </xf>
    <xf numFmtId="0" fontId="10" fillId="0" borderId="27" xfId="0" applyFont="1" applyBorder="1" applyAlignment="1" applyProtection="1">
      <alignment horizontal="center" wrapText="1"/>
    </xf>
    <xf numFmtId="0" fontId="10" fillId="0" borderId="0" xfId="0" applyFont="1" applyBorder="1" applyAlignment="1" applyProtection="1">
      <alignment horizontal="center" wrapText="1"/>
    </xf>
    <xf numFmtId="0" fontId="10" fillId="0" borderId="28" xfId="0" applyFont="1" applyBorder="1" applyAlignment="1" applyProtection="1">
      <alignment horizontal="center"/>
    </xf>
    <xf numFmtId="0" fontId="10" fillId="0" borderId="6" xfId="0" applyFont="1" applyBorder="1" applyAlignment="1" applyProtection="1">
      <alignment horizontal="center"/>
    </xf>
    <xf numFmtId="173" fontId="10" fillId="0" borderId="28" xfId="86" applyNumberFormat="1" applyFont="1" applyBorder="1" applyAlignment="1" applyProtection="1">
      <alignment horizontal="center"/>
    </xf>
    <xf numFmtId="173" fontId="10" fillId="0" borderId="20" xfId="86" applyNumberFormat="1" applyFont="1" applyBorder="1" applyAlignment="1" applyProtection="1">
      <alignment horizontal="center"/>
    </xf>
    <xf numFmtId="0" fontId="10" fillId="0" borderId="28" xfId="0" applyFont="1" applyFill="1" applyBorder="1" applyAlignment="1" applyProtection="1">
      <alignment horizontal="center"/>
    </xf>
    <xf numFmtId="0" fontId="10" fillId="0" borderId="27" xfId="0" applyFont="1" applyFill="1" applyBorder="1" applyAlignment="1" applyProtection="1">
      <alignment horizontal="center"/>
    </xf>
    <xf numFmtId="0" fontId="13" fillId="0" borderId="27" xfId="0" applyNumberFormat="1" applyFont="1" applyBorder="1" applyAlignment="1" applyProtection="1">
      <alignment horizontal="center"/>
    </xf>
    <xf numFmtId="173" fontId="13" fillId="0" borderId="27" xfId="86" applyNumberFormat="1" applyFont="1" applyBorder="1" applyProtection="1"/>
    <xf numFmtId="173" fontId="13" fillId="0" borderId="27" xfId="86" applyNumberFormat="1" applyFont="1" applyFill="1" applyBorder="1" applyProtection="1"/>
    <xf numFmtId="173" fontId="13" fillId="0" borderId="18" xfId="86" applyNumberFormat="1" applyFont="1" applyFill="1" applyBorder="1" applyProtection="1"/>
    <xf numFmtId="174" fontId="13" fillId="0" borderId="27" xfId="0" applyNumberFormat="1" applyFont="1" applyBorder="1" applyProtection="1"/>
    <xf numFmtId="174" fontId="9" fillId="27" borderId="26" xfId="0" applyNumberFormat="1" applyFont="1" applyFill="1" applyBorder="1" applyProtection="1"/>
    <xf numFmtId="174" fontId="13" fillId="28" borderId="26" xfId="0" applyNumberFormat="1" applyFont="1" applyFill="1" applyBorder="1" applyProtection="1"/>
    <xf numFmtId="173" fontId="13" fillId="0" borderId="27" xfId="0" applyNumberFormat="1" applyFont="1" applyBorder="1" applyProtection="1"/>
    <xf numFmtId="173" fontId="13" fillId="0" borderId="18" xfId="86" applyNumberFormat="1" applyFont="1" applyBorder="1" applyProtection="1"/>
    <xf numFmtId="174" fontId="9" fillId="27" borderId="27" xfId="0" applyNumberFormat="1" applyFont="1" applyFill="1" applyBorder="1" applyProtection="1"/>
    <xf numFmtId="174" fontId="13" fillId="28" borderId="27" xfId="0" applyNumberFormat="1" applyFont="1" applyFill="1" applyBorder="1" applyProtection="1"/>
    <xf numFmtId="174" fontId="13" fillId="28" borderId="27" xfId="0" applyNumberFormat="1" applyFont="1" applyFill="1" applyBorder="1" applyAlignment="1" applyProtection="1">
      <alignment wrapText="1"/>
    </xf>
    <xf numFmtId="0" fontId="13" fillId="0" borderId="28" xfId="0" applyNumberFormat="1" applyFont="1" applyBorder="1" applyAlignment="1" applyProtection="1">
      <alignment horizontal="center"/>
    </xf>
    <xf numFmtId="173" fontId="13" fillId="0" borderId="6" xfId="0" applyNumberFormat="1" applyFont="1" applyBorder="1" applyProtection="1"/>
    <xf numFmtId="173" fontId="13" fillId="0" borderId="28" xfId="0" applyNumberFormat="1" applyFont="1" applyBorder="1" applyProtection="1"/>
    <xf numFmtId="173" fontId="13" fillId="0" borderId="28" xfId="86" applyNumberFormat="1" applyFont="1" applyBorder="1" applyProtection="1"/>
    <xf numFmtId="174" fontId="13" fillId="0" borderId="28" xfId="0" applyNumberFormat="1" applyFont="1" applyBorder="1" applyProtection="1"/>
    <xf numFmtId="174" fontId="9" fillId="27" borderId="28" xfId="0" applyNumberFormat="1" applyFont="1" applyFill="1" applyBorder="1" applyProtection="1"/>
    <xf numFmtId="174" fontId="13" fillId="28" borderId="28" xfId="0" applyNumberFormat="1" applyFont="1" applyFill="1" applyBorder="1" applyProtection="1"/>
    <xf numFmtId="10" fontId="0" fillId="0" borderId="0" xfId="281" applyNumberFormat="1" applyFont="1" applyAlignment="1" applyProtection="1">
      <alignment horizontal="right"/>
    </xf>
    <xf numFmtId="172" fontId="13" fillId="0" borderId="21" xfId="272" applyFont="1" applyBorder="1" applyAlignment="1" applyProtection="1"/>
    <xf numFmtId="172" fontId="13" fillId="0" borderId="15" xfId="272" applyFont="1" applyBorder="1" applyAlignment="1" applyProtection="1"/>
    <xf numFmtId="3" fontId="13" fillId="0" borderId="25" xfId="272" applyNumberFormat="1" applyFont="1" applyBorder="1" applyAlignment="1" applyProtection="1"/>
    <xf numFmtId="172" fontId="13" fillId="0" borderId="17" xfId="272" applyFont="1" applyBorder="1" applyAlignment="1" applyProtection="1"/>
    <xf numFmtId="3" fontId="13" fillId="0" borderId="18" xfId="272" applyNumberFormat="1" applyFont="1" applyBorder="1" applyAlignment="1" applyProtection="1"/>
    <xf numFmtId="0" fontId="13" fillId="0" borderId="0" xfId="272" quotePrefix="1" applyNumberFormat="1" applyFont="1" applyBorder="1" applyAlignment="1" applyProtection="1">
      <alignment horizontal="center"/>
    </xf>
    <xf numFmtId="0" fontId="13" fillId="0" borderId="18" xfId="0" applyFont="1" applyBorder="1" applyProtection="1"/>
    <xf numFmtId="10" fontId="33" fillId="0" borderId="0" xfId="0" applyNumberFormat="1" applyFont="1" applyFill="1" applyAlignment="1" applyProtection="1">
      <alignment horizontal="center"/>
    </xf>
    <xf numFmtId="0" fontId="13" fillId="0" borderId="17" xfId="0" applyFont="1" applyBorder="1" applyProtection="1"/>
    <xf numFmtId="0" fontId="13" fillId="0" borderId="0" xfId="0" applyFont="1" applyBorder="1" applyAlignment="1" applyProtection="1">
      <alignment horizontal="right"/>
    </xf>
    <xf numFmtId="174" fontId="13" fillId="0" borderId="18" xfId="0" applyNumberFormat="1" applyFont="1" applyBorder="1" applyProtection="1"/>
    <xf numFmtId="174" fontId="13" fillId="0" borderId="20" xfId="0" applyNumberFormat="1" applyFont="1" applyBorder="1" applyProtection="1"/>
    <xf numFmtId="173" fontId="13" fillId="0" borderId="25" xfId="0" applyNumberFormat="1" applyFont="1" applyBorder="1" applyProtection="1"/>
    <xf numFmtId="166" fontId="13" fillId="0" borderId="19" xfId="272" applyNumberFormat="1" applyFont="1" applyBorder="1" applyAlignment="1" applyProtection="1">
      <alignment horizontal="center"/>
    </xf>
    <xf numFmtId="0" fontId="13" fillId="0" borderId="6" xfId="272" applyNumberFormat="1" applyFont="1" applyBorder="1" applyAlignment="1" applyProtection="1">
      <alignment horizontal="center"/>
    </xf>
    <xf numFmtId="173" fontId="13" fillId="0" borderId="6" xfId="272" quotePrefix="1" applyNumberFormat="1" applyFont="1" applyBorder="1" applyAlignment="1" applyProtection="1">
      <alignment horizontal="center"/>
    </xf>
    <xf numFmtId="41" fontId="13" fillId="0" borderId="0" xfId="272" applyNumberFormat="1" applyFont="1" applyFill="1" applyBorder="1" applyAlignment="1" applyProtection="1">
      <alignment horizontal="right"/>
    </xf>
    <xf numFmtId="10" fontId="13" fillId="0" borderId="0" xfId="281" applyNumberFormat="1" applyFont="1" applyFill="1" applyBorder="1" applyAlignment="1" applyProtection="1"/>
    <xf numFmtId="0" fontId="122" fillId="26" borderId="0" xfId="0" applyFont="1" applyFill="1" applyBorder="1" applyProtection="1"/>
    <xf numFmtId="0" fontId="10" fillId="0" borderId="21" xfId="0" applyFont="1" applyFill="1" applyBorder="1" applyAlignment="1" applyProtection="1">
      <alignment horizontal="center"/>
    </xf>
    <xf numFmtId="173" fontId="13" fillId="0" borderId="17" xfId="86" applyNumberFormat="1" applyFont="1" applyBorder="1" applyProtection="1"/>
    <xf numFmtId="173" fontId="10" fillId="0" borderId="0" xfId="86" applyNumberFormat="1" applyFont="1" applyBorder="1" applyProtection="1"/>
    <xf numFmtId="173" fontId="13" fillId="0" borderId="18" xfId="0" applyNumberFormat="1" applyFont="1" applyBorder="1" applyProtection="1"/>
    <xf numFmtId="173" fontId="10" fillId="0" borderId="11" xfId="86" applyNumberFormat="1" applyFont="1" applyBorder="1" applyProtection="1"/>
    <xf numFmtId="173" fontId="13" fillId="0" borderId="29" xfId="0" applyNumberFormat="1" applyFont="1" applyBorder="1" applyProtection="1"/>
    <xf numFmtId="173" fontId="10" fillId="0" borderId="6" xfId="86" applyNumberFormat="1" applyFont="1" applyFill="1" applyBorder="1" applyAlignment="1" applyProtection="1">
      <alignment horizontal="left"/>
    </xf>
    <xf numFmtId="173" fontId="10" fillId="0" borderId="20" xfId="86" applyNumberFormat="1" applyFont="1" applyFill="1" applyBorder="1" applyAlignment="1" applyProtection="1">
      <alignment horizontal="left"/>
    </xf>
    <xf numFmtId="173" fontId="13" fillId="0" borderId="26" xfId="0" applyNumberFormat="1" applyFont="1" applyBorder="1" applyProtection="1"/>
    <xf numFmtId="174" fontId="13" fillId="0" borderId="26" xfId="0" applyNumberFormat="1" applyFont="1" applyBorder="1" applyProtection="1"/>
    <xf numFmtId="0" fontId="10" fillId="0" borderId="0" xfId="272" applyNumberFormat="1" applyFont="1" applyFill="1" applyBorder="1" applyAlignment="1" applyProtection="1">
      <alignment vertical="center"/>
    </xf>
    <xf numFmtId="0" fontId="102" fillId="0" borderId="0" xfId="0" applyFont="1" applyProtection="1"/>
    <xf numFmtId="0" fontId="10" fillId="0" borderId="0" xfId="272" applyNumberFormat="1" applyFont="1" applyFill="1" applyBorder="1" applyAlignment="1" applyProtection="1">
      <alignment vertical="top"/>
    </xf>
    <xf numFmtId="0" fontId="23" fillId="0" borderId="0" xfId="0" applyFont="1" applyAlignment="1" applyProtection="1"/>
    <xf numFmtId="0" fontId="106" fillId="0" borderId="0" xfId="274" applyFont="1" applyAlignment="1" applyProtection="1"/>
    <xf numFmtId="0" fontId="4" fillId="0" borderId="0" xfId="274" applyProtection="1"/>
    <xf numFmtId="44" fontId="106" fillId="0" borderId="0" xfId="123" applyFont="1" applyAlignment="1" applyProtection="1"/>
    <xf numFmtId="0" fontId="107" fillId="0" borderId="0" xfId="274" applyFont="1" applyProtection="1"/>
    <xf numFmtId="0" fontId="108" fillId="0" borderId="0" xfId="274" applyFont="1" applyAlignment="1" applyProtection="1">
      <alignment horizontal="center"/>
    </xf>
    <xf numFmtId="0" fontId="109" fillId="0" borderId="0" xfId="274" applyFont="1" applyProtection="1"/>
    <xf numFmtId="175" fontId="108" fillId="0" borderId="0" xfId="274" applyNumberFormat="1" applyFont="1" applyAlignment="1" applyProtection="1">
      <alignment horizontal="center"/>
    </xf>
    <xf numFmtId="0" fontId="108" fillId="0" borderId="0" xfId="274" applyFont="1" applyProtection="1"/>
    <xf numFmtId="175" fontId="108" fillId="0" borderId="0" xfId="274" quotePrefix="1" applyNumberFormat="1" applyFont="1" applyAlignment="1" applyProtection="1">
      <alignment horizontal="center"/>
    </xf>
    <xf numFmtId="192" fontId="108" fillId="0" borderId="0" xfId="274" quotePrefix="1" applyNumberFormat="1" applyFont="1" applyAlignment="1" applyProtection="1">
      <alignment horizontal="center"/>
    </xf>
    <xf numFmtId="0" fontId="110" fillId="0" borderId="0" xfId="274" applyFont="1" applyProtection="1"/>
    <xf numFmtId="0" fontId="111" fillId="0" borderId="16" xfId="274" applyFont="1" applyBorder="1" applyProtection="1"/>
    <xf numFmtId="0" fontId="107" fillId="0" borderId="16" xfId="274" applyFont="1" applyBorder="1" applyProtection="1"/>
    <xf numFmtId="0" fontId="4" fillId="0" borderId="0" xfId="274" applyFont="1" applyBorder="1" applyAlignment="1" applyProtection="1">
      <alignment horizontal="left"/>
    </xf>
    <xf numFmtId="0" fontId="107" fillId="0" borderId="0" xfId="274" applyFont="1" applyBorder="1" applyProtection="1"/>
    <xf numFmtId="0" fontId="4" fillId="0" borderId="0" xfId="274" applyFont="1" applyBorder="1" applyProtection="1"/>
    <xf numFmtId="0" fontId="112" fillId="0" borderId="0" xfId="274" applyFont="1" applyProtection="1"/>
    <xf numFmtId="175" fontId="4" fillId="0" borderId="0" xfId="274" quotePrefix="1" applyNumberFormat="1" applyAlignment="1" applyProtection="1">
      <alignment horizontal="right"/>
    </xf>
    <xf numFmtId="0" fontId="112" fillId="0" borderId="0" xfId="274" applyFont="1" applyAlignment="1" applyProtection="1">
      <alignment horizontal="right"/>
    </xf>
    <xf numFmtId="0" fontId="113" fillId="0" borderId="0" xfId="274" applyFont="1" applyProtection="1"/>
    <xf numFmtId="0" fontId="114" fillId="0" borderId="0" xfId="274" applyFont="1" applyProtection="1"/>
    <xf numFmtId="0" fontId="43" fillId="0" borderId="0" xfId="274" applyFont="1" applyProtection="1"/>
    <xf numFmtId="0" fontId="6" fillId="0" borderId="0" xfId="270" applyFont="1" applyProtection="1"/>
    <xf numFmtId="0" fontId="3" fillId="0" borderId="0" xfId="270" applyProtection="1"/>
    <xf numFmtId="0" fontId="3" fillId="0" borderId="0" xfId="270" applyAlignment="1" applyProtection="1">
      <alignment horizontal="center"/>
    </xf>
    <xf numFmtId="0" fontId="119" fillId="0" borderId="0" xfId="0" applyFont="1" applyFill="1" applyAlignment="1" applyProtection="1">
      <alignment horizontal="left"/>
    </xf>
    <xf numFmtId="0" fontId="119" fillId="0" borderId="0" xfId="0" applyFont="1" applyFill="1" applyProtection="1"/>
    <xf numFmtId="0" fontId="119" fillId="0" borderId="26" xfId="0" applyFont="1" applyFill="1" applyBorder="1" applyAlignment="1" applyProtection="1">
      <alignment horizontal="center" wrapText="1"/>
    </xf>
    <xf numFmtId="0" fontId="119" fillId="0" borderId="27" xfId="0" applyFont="1" applyFill="1" applyBorder="1" applyAlignment="1" applyProtection="1">
      <alignment horizontal="center" wrapText="1"/>
    </xf>
    <xf numFmtId="0" fontId="119" fillId="0" borderId="27" xfId="0" applyFont="1" applyFill="1" applyBorder="1" applyProtection="1"/>
    <xf numFmtId="170" fontId="120" fillId="0" borderId="0" xfId="0" applyNumberFormat="1" applyFont="1" applyFill="1" applyAlignment="1" applyProtection="1">
      <alignment horizontal="right"/>
    </xf>
    <xf numFmtId="170" fontId="119" fillId="0" borderId="0" xfId="0" applyNumberFormat="1" applyFont="1" applyFill="1" applyAlignment="1" applyProtection="1">
      <alignment horizontal="center"/>
    </xf>
    <xf numFmtId="170" fontId="119" fillId="0" borderId="0" xfId="0" applyNumberFormat="1" applyFont="1" applyFill="1" applyProtection="1"/>
    <xf numFmtId="170" fontId="120" fillId="0" borderId="0" xfId="0" applyNumberFormat="1" applyFont="1" applyFill="1" applyAlignment="1" applyProtection="1">
      <alignment horizontal="center"/>
    </xf>
    <xf numFmtId="170" fontId="6" fillId="0" borderId="0" xfId="0" applyNumberFormat="1" applyFont="1" applyFill="1" applyProtection="1"/>
    <xf numFmtId="5" fontId="119" fillId="0" borderId="28" xfId="0" applyNumberFormat="1" applyFont="1" applyFill="1" applyBorder="1" applyAlignment="1" applyProtection="1">
      <alignment horizontal="center"/>
    </xf>
    <xf numFmtId="173" fontId="119" fillId="0" borderId="0" xfId="0" applyNumberFormat="1" applyFont="1" applyFill="1" applyProtection="1"/>
    <xf numFmtId="0" fontId="119" fillId="0" borderId="0" xfId="0" applyFont="1" applyFill="1" applyAlignment="1" applyProtection="1">
      <alignment horizontal="center"/>
    </xf>
    <xf numFmtId="173" fontId="119" fillId="0" borderId="6" xfId="0" applyNumberFormat="1" applyFont="1" applyFill="1" applyBorder="1" applyProtection="1"/>
    <xf numFmtId="0" fontId="119" fillId="0" borderId="6" xfId="0" applyFont="1" applyFill="1" applyBorder="1" applyAlignment="1" applyProtection="1">
      <alignment horizontal="center"/>
    </xf>
    <xf numFmtId="0" fontId="6" fillId="0" borderId="6" xfId="0" applyFont="1" applyFill="1" applyBorder="1" applyProtection="1"/>
    <xf numFmtId="173" fontId="119" fillId="0" borderId="0" xfId="0" applyNumberFormat="1" applyFont="1" applyFill="1" applyAlignment="1" applyProtection="1">
      <alignment horizontal="left"/>
    </xf>
    <xf numFmtId="0" fontId="120" fillId="0" borderId="0" xfId="0" applyNumberFormat="1" applyFont="1" applyFill="1" applyAlignment="1" applyProtection="1">
      <alignment horizontal="left"/>
    </xf>
    <xf numFmtId="0" fontId="120" fillId="0" borderId="0" xfId="0" applyFont="1" applyFill="1" applyAlignment="1" applyProtection="1">
      <alignment horizontal="center" wrapText="1"/>
    </xf>
    <xf numFmtId="0" fontId="120" fillId="0" borderId="0" xfId="0" applyFont="1" applyFill="1" applyAlignment="1" applyProtection="1">
      <alignment horizontal="center"/>
    </xf>
    <xf numFmtId="173" fontId="120" fillId="0" borderId="0" xfId="0" applyNumberFormat="1" applyFont="1" applyFill="1" applyAlignment="1" applyProtection="1">
      <alignment horizontal="center" wrapText="1"/>
    </xf>
    <xf numFmtId="173" fontId="120" fillId="0" borderId="0" xfId="0" applyNumberFormat="1" applyFont="1" applyFill="1" applyAlignment="1" applyProtection="1">
      <alignment horizontal="center"/>
    </xf>
    <xf numFmtId="175" fontId="119" fillId="0" borderId="0" xfId="283" applyNumberFormat="1" applyFont="1" applyFill="1" applyProtection="1"/>
    <xf numFmtId="173" fontId="119" fillId="0" borderId="0" xfId="0" applyNumberFormat="1" applyFont="1" applyFill="1" applyAlignment="1" applyProtection="1">
      <alignment horizontal="center"/>
    </xf>
    <xf numFmtId="0" fontId="121" fillId="0" borderId="0" xfId="0" applyFont="1" applyFill="1" applyAlignment="1" applyProtection="1">
      <alignment horizontal="center"/>
    </xf>
    <xf numFmtId="173" fontId="119" fillId="0" borderId="0" xfId="89" applyNumberFormat="1" applyFont="1" applyFill="1" applyProtection="1"/>
    <xf numFmtId="175" fontId="119" fillId="0" borderId="0" xfId="0" applyNumberFormat="1" applyFont="1" applyFill="1" applyProtection="1"/>
    <xf numFmtId="0" fontId="119" fillId="0" borderId="0" xfId="0" applyNumberFormat="1" applyFont="1" applyFill="1" applyProtection="1"/>
    <xf numFmtId="173" fontId="119" fillId="0" borderId="11" xfId="89" applyNumberFormat="1" applyFont="1" applyFill="1" applyBorder="1" applyProtection="1"/>
    <xf numFmtId="173" fontId="120" fillId="0" borderId="0" xfId="89" applyNumberFormat="1" applyFont="1" applyFill="1" applyProtection="1"/>
    <xf numFmtId="173" fontId="120" fillId="0" borderId="0" xfId="89" applyNumberFormat="1" applyFont="1" applyFill="1" applyAlignment="1" applyProtection="1">
      <alignment horizontal="center"/>
    </xf>
    <xf numFmtId="0" fontId="121" fillId="0" borderId="0" xfId="0" applyFont="1" applyFill="1" applyProtection="1"/>
    <xf numFmtId="194" fontId="6" fillId="0" borderId="0" xfId="0" applyNumberFormat="1" applyFont="1" applyFill="1" applyProtection="1"/>
    <xf numFmtId="173" fontId="6" fillId="0" borderId="0" xfId="89" applyNumberFormat="1" applyFont="1" applyFill="1" applyProtection="1"/>
    <xf numFmtId="173" fontId="6" fillId="0" borderId="0" xfId="124" applyNumberFormat="1" applyFont="1" applyFill="1" applyProtection="1"/>
    <xf numFmtId="0" fontId="0" fillId="0" borderId="0" xfId="0" applyFill="1" applyAlignment="1" applyProtection="1">
      <alignment horizontal="left"/>
    </xf>
    <xf numFmtId="0" fontId="20" fillId="29" borderId="0" xfId="86" applyNumberFormat="1" applyFont="1" applyFill="1" applyAlignment="1" applyProtection="1">
      <protection locked="0"/>
    </xf>
    <xf numFmtId="173" fontId="20" fillId="29" borderId="0" xfId="86" applyNumberFormat="1" applyFont="1" applyFill="1" applyAlignment="1" applyProtection="1">
      <alignment horizontal="right"/>
      <protection locked="0"/>
    </xf>
    <xf numFmtId="41" fontId="20" fillId="29" borderId="0" xfId="272" applyNumberFormat="1" applyFont="1" applyFill="1" applyAlignment="1" applyProtection="1">
      <protection locked="0"/>
    </xf>
    <xf numFmtId="41" fontId="20" fillId="29" borderId="6" xfId="272" applyNumberFormat="1" applyFont="1" applyFill="1" applyBorder="1" applyAlignment="1" applyProtection="1">
      <protection locked="0"/>
    </xf>
    <xf numFmtId="3" fontId="20" fillId="29" borderId="0" xfId="272" applyNumberFormat="1" applyFont="1" applyFill="1" applyAlignment="1" applyProtection="1">
      <protection locked="0"/>
    </xf>
    <xf numFmtId="3" fontId="20" fillId="29" borderId="6" xfId="272" applyNumberFormat="1" applyFont="1" applyFill="1" applyBorder="1" applyAlignment="1" applyProtection="1">
      <protection locked="0"/>
    </xf>
    <xf numFmtId="10" fontId="20" fillId="29" borderId="0" xfId="281" applyNumberFormat="1" applyFont="1" applyFill="1" applyAlignment="1" applyProtection="1">
      <protection locked="0"/>
    </xf>
    <xf numFmtId="173" fontId="9" fillId="29" borderId="0" xfId="90" applyNumberFormat="1" applyFont="1" applyFill="1" applyBorder="1" applyAlignment="1" applyProtection="1">
      <alignment horizontal="right"/>
      <protection locked="0"/>
    </xf>
    <xf numFmtId="0" fontId="33" fillId="29" borderId="0" xfId="222" applyFont="1" applyFill="1" applyBorder="1" applyProtection="1">
      <protection locked="0"/>
    </xf>
    <xf numFmtId="173" fontId="9" fillId="29" borderId="11" xfId="90" applyNumberFormat="1" applyFont="1" applyFill="1" applyBorder="1" applyAlignment="1" applyProtection="1">
      <alignment horizontal="right"/>
      <protection locked="0"/>
    </xf>
    <xf numFmtId="41" fontId="9" fillId="29" borderId="0" xfId="263" applyNumberFormat="1" applyFont="1" applyFill="1" applyProtection="1">
      <protection locked="0"/>
    </xf>
    <xf numFmtId="41" fontId="9" fillId="29" borderId="11" xfId="263" applyNumberFormat="1" applyFont="1" applyFill="1" applyBorder="1" applyProtection="1">
      <protection locked="0"/>
    </xf>
    <xf numFmtId="37" fontId="9" fillId="29" borderId="0" xfId="0" applyNumberFormat="1" applyFont="1" applyFill="1" applyProtection="1">
      <protection locked="0"/>
    </xf>
    <xf numFmtId="3" fontId="64" fillId="29" borderId="0" xfId="0" applyNumberFormat="1" applyFont="1" applyFill="1" applyProtection="1">
      <protection locked="0"/>
    </xf>
    <xf numFmtId="3" fontId="123" fillId="29" borderId="0" xfId="0" applyNumberFormat="1" applyFont="1" applyFill="1" applyProtection="1">
      <protection locked="0"/>
    </xf>
    <xf numFmtId="37" fontId="123" fillId="29" borderId="0" xfId="0" applyNumberFormat="1" applyFont="1" applyFill="1" applyProtection="1">
      <protection locked="0"/>
    </xf>
    <xf numFmtId="1" fontId="64" fillId="29" borderId="0" xfId="0" applyNumberFormat="1" applyFont="1" applyFill="1" applyAlignment="1" applyProtection="1">
      <alignment horizontal="left"/>
      <protection locked="0"/>
    </xf>
    <xf numFmtId="38" fontId="64" fillId="0" borderId="15" xfId="0" applyNumberFormat="1" applyFont="1" applyFill="1" applyBorder="1"/>
    <xf numFmtId="173" fontId="0" fillId="0" borderId="0" xfId="0" applyNumberFormat="1" applyFill="1" applyProtection="1"/>
    <xf numFmtId="173" fontId="9" fillId="0" borderId="0" xfId="86" applyNumberFormat="1" applyFont="1" applyFill="1" applyProtection="1"/>
    <xf numFmtId="173" fontId="0" fillId="0" borderId="11" xfId="0" applyNumberFormat="1" applyFill="1" applyBorder="1" applyProtection="1"/>
    <xf numFmtId="173" fontId="9" fillId="29" borderId="0" xfId="121" applyNumberFormat="1" applyFont="1" applyFill="1" applyProtection="1">
      <protection locked="0"/>
    </xf>
    <xf numFmtId="0" fontId="20" fillId="29" borderId="0" xfId="263" applyFont="1" applyFill="1" applyAlignment="1" applyProtection="1">
      <alignment horizontal="center"/>
      <protection locked="0"/>
    </xf>
    <xf numFmtId="3" fontId="20" fillId="29" borderId="0" xfId="0" applyNumberFormat="1" applyFont="1" applyFill="1" applyAlignment="1" applyProtection="1">
      <protection locked="0"/>
    </xf>
    <xf numFmtId="41" fontId="20" fillId="29" borderId="0" xfId="263" applyNumberFormat="1" applyFont="1" applyFill="1" applyBorder="1" applyProtection="1">
      <protection locked="0"/>
    </xf>
    <xf numFmtId="38" fontId="9" fillId="29" borderId="0" xfId="0" applyNumberFormat="1" applyFont="1" applyFill="1" applyBorder="1" applyProtection="1">
      <protection locked="0"/>
    </xf>
    <xf numFmtId="37" fontId="9" fillId="29" borderId="0" xfId="0" applyNumberFormat="1" applyFont="1" applyFill="1" applyBorder="1" applyProtection="1">
      <protection locked="0"/>
    </xf>
    <xf numFmtId="10" fontId="20" fillId="29" borderId="0" xfId="0" applyNumberFormat="1" applyFont="1" applyFill="1" applyBorder="1" applyAlignment="1" applyProtection="1">
      <protection locked="0"/>
    </xf>
    <xf numFmtId="10" fontId="20" fillId="29" borderId="11" xfId="0" applyNumberFormat="1" applyFont="1" applyFill="1" applyBorder="1" applyAlignment="1" applyProtection="1">
      <protection locked="0"/>
    </xf>
    <xf numFmtId="173" fontId="78" fillId="29" borderId="0" xfId="273" applyNumberFormat="1" applyFont="1" applyFill="1" applyBorder="1" applyProtection="1">
      <protection locked="0"/>
    </xf>
    <xf numFmtId="0" fontId="72" fillId="29" borderId="0" xfId="273" applyFont="1" applyFill="1" applyAlignment="1" applyProtection="1">
      <alignment horizontal="center"/>
      <protection locked="0"/>
    </xf>
    <xf numFmtId="0" fontId="9" fillId="29" borderId="0" xfId="86" applyNumberFormat="1" applyFont="1" applyFill="1" applyAlignment="1" applyProtection="1">
      <protection locked="0"/>
    </xf>
    <xf numFmtId="173" fontId="3" fillId="29" borderId="6" xfId="272" applyNumberFormat="1" applyFont="1" applyFill="1" applyBorder="1" applyAlignment="1" applyProtection="1">
      <alignment horizontal="center"/>
      <protection locked="0"/>
    </xf>
    <xf numFmtId="0" fontId="20" fillId="29" borderId="0" xfId="86" applyNumberFormat="1" applyFont="1" applyFill="1" applyAlignment="1" applyProtection="1">
      <alignment horizontal="left"/>
      <protection locked="0"/>
    </xf>
    <xf numFmtId="173" fontId="151" fillId="29" borderId="18" xfId="86" applyNumberFormat="1" applyFont="1" applyFill="1" applyBorder="1" applyAlignment="1" applyProtection="1">
      <alignment horizontal="right"/>
      <protection locked="0"/>
    </xf>
    <xf numFmtId="0" fontId="151" fillId="29" borderId="18" xfId="0" applyFont="1" applyFill="1" applyBorder="1" applyAlignment="1" applyProtection="1">
      <alignment horizontal="right"/>
      <protection locked="0"/>
    </xf>
    <xf numFmtId="173" fontId="9" fillId="29" borderId="18" xfId="86" applyNumberFormat="1" applyFont="1" applyFill="1" applyBorder="1" applyAlignment="1" applyProtection="1">
      <alignment horizontal="right"/>
      <protection locked="0"/>
    </xf>
    <xf numFmtId="0" fontId="9" fillId="29" borderId="20" xfId="0" applyFont="1" applyFill="1" applyBorder="1" applyAlignment="1" applyProtection="1">
      <alignment horizontal="right"/>
      <protection locked="0"/>
    </xf>
    <xf numFmtId="173" fontId="9" fillId="29" borderId="18" xfId="0" applyNumberFormat="1" applyFont="1" applyFill="1" applyBorder="1" applyAlignment="1" applyProtection="1">
      <alignment horizontal="right"/>
      <protection locked="0"/>
    </xf>
    <xf numFmtId="174" fontId="9" fillId="29" borderId="26" xfId="0" applyNumberFormat="1" applyFont="1" applyFill="1" applyBorder="1" applyProtection="1">
      <protection locked="0"/>
    </xf>
    <xf numFmtId="174" fontId="9" fillId="29" borderId="27" xfId="0" applyNumberFormat="1" applyFont="1" applyFill="1" applyBorder="1" applyProtection="1">
      <protection locked="0"/>
    </xf>
    <xf numFmtId="174" fontId="9" fillId="29" borderId="28" xfId="0" applyNumberFormat="1" applyFont="1" applyFill="1" applyBorder="1" applyProtection="1">
      <protection locked="0"/>
    </xf>
    <xf numFmtId="174" fontId="13" fillId="29" borderId="0" xfId="0" applyNumberFormat="1" applyFont="1" applyFill="1" applyBorder="1" applyProtection="1">
      <protection locked="0"/>
    </xf>
    <xf numFmtId="174" fontId="13" fillId="29" borderId="6" xfId="0" applyNumberFormat="1" applyFont="1" applyFill="1" applyBorder="1" applyProtection="1">
      <protection locked="0"/>
    </xf>
    <xf numFmtId="0" fontId="70" fillId="29" borderId="0" xfId="0" applyFont="1" applyFill="1" applyAlignment="1" applyProtection="1">
      <alignment horizontal="left"/>
      <protection locked="0"/>
    </xf>
    <xf numFmtId="0" fontId="9" fillId="29" borderId="18" xfId="0" applyFont="1" applyFill="1" applyBorder="1" applyAlignment="1" applyProtection="1">
      <alignment horizontal="right"/>
      <protection locked="0"/>
    </xf>
    <xf numFmtId="0" fontId="18" fillId="0" borderId="0" xfId="263" applyFont="1" applyAlignment="1">
      <alignment wrapText="1"/>
    </xf>
    <xf numFmtId="173" fontId="21" fillId="29" borderId="0" xfId="86" applyNumberFormat="1" applyFont="1" applyFill="1" applyProtection="1">
      <protection locked="0"/>
    </xf>
    <xf numFmtId="188" fontId="21" fillId="29" borderId="0" xfId="0" applyNumberFormat="1" applyFont="1" applyFill="1" applyProtection="1">
      <protection locked="0"/>
    </xf>
    <xf numFmtId="0" fontId="0" fillId="29" borderId="0" xfId="0" applyFill="1" applyAlignment="1" applyProtection="1">
      <alignment horizontal="center"/>
      <protection locked="0"/>
    </xf>
    <xf numFmtId="0" fontId="21" fillId="29" borderId="0" xfId="0" applyFont="1" applyFill="1" applyProtection="1">
      <protection locked="0"/>
    </xf>
    <xf numFmtId="170" fontId="119" fillId="29" borderId="28" xfId="0" applyNumberFormat="1" applyFont="1" applyFill="1" applyBorder="1" applyAlignment="1" applyProtection="1">
      <alignment horizontal="center"/>
      <protection locked="0"/>
    </xf>
    <xf numFmtId="196" fontId="152" fillId="26" borderId="0" xfId="0" applyNumberFormat="1" applyFont="1" applyFill="1" applyAlignment="1">
      <alignment horizontal="right"/>
    </xf>
    <xf numFmtId="41" fontId="9" fillId="29" borderId="0" xfId="264" applyNumberFormat="1" applyFont="1" applyFill="1"/>
    <xf numFmtId="41" fontId="9" fillId="29" borderId="11" xfId="264" applyNumberFormat="1" applyFont="1" applyFill="1" applyBorder="1"/>
    <xf numFmtId="173" fontId="9" fillId="0" borderId="0" xfId="121" applyNumberFormat="1" applyFont="1" applyFill="1" applyProtection="1">
      <protection locked="0"/>
    </xf>
    <xf numFmtId="0" fontId="127" fillId="0" borderId="0" xfId="0" applyFont="1" applyAlignment="1">
      <alignment vertical="center"/>
    </xf>
    <xf numFmtId="0" fontId="80" fillId="0" borderId="0" xfId="222" applyNumberFormat="1" applyFont="1" applyFill="1" applyBorder="1" applyAlignment="1">
      <alignment horizontal="center"/>
    </xf>
    <xf numFmtId="173" fontId="78" fillId="0" borderId="0" xfId="273" applyNumberFormat="1" applyFont="1" applyFill="1" applyBorder="1" applyProtection="1">
      <protection locked="0"/>
    </xf>
    <xf numFmtId="0" fontId="72" fillId="0" borderId="0" xfId="273" applyFont="1" applyFill="1" applyAlignment="1" applyProtection="1">
      <alignment horizontal="center"/>
      <protection locked="0"/>
    </xf>
    <xf numFmtId="0" fontId="128" fillId="0" borderId="0" xfId="0" applyNumberFormat="1" applyFont="1" applyAlignment="1">
      <alignment horizontal="center"/>
    </xf>
    <xf numFmtId="172" fontId="13" fillId="0" borderId="0" xfId="268" applyFont="1" applyAlignment="1"/>
    <xf numFmtId="173" fontId="13" fillId="0" borderId="0" xfId="0" applyNumberFormat="1" applyFont="1" applyAlignment="1"/>
    <xf numFmtId="0" fontId="13" fillId="0" borderId="0" xfId="275" applyFont="1"/>
    <xf numFmtId="0" fontId="13" fillId="0" borderId="0" xfId="0" applyNumberFormat="1" applyFont="1" applyAlignment="1">
      <alignment horizontal="center"/>
    </xf>
    <xf numFmtId="173" fontId="13" fillId="0" borderId="31" xfId="89" applyNumberFormat="1" applyFont="1" applyBorder="1"/>
    <xf numFmtId="173" fontId="13" fillId="0" borderId="14" xfId="89" applyNumberFormat="1" applyFont="1" applyBorder="1"/>
    <xf numFmtId="173" fontId="13" fillId="0" borderId="32" xfId="89" applyNumberFormat="1" applyFont="1" applyBorder="1"/>
    <xf numFmtId="0" fontId="13" fillId="0" borderId="14" xfId="0" applyNumberFormat="1" applyFont="1" applyBorder="1" applyAlignment="1">
      <alignment horizontal="center"/>
    </xf>
    <xf numFmtId="173" fontId="9" fillId="29" borderId="33" xfId="90" applyNumberFormat="1" applyFont="1" applyFill="1" applyBorder="1" applyAlignment="1">
      <alignment horizontal="right"/>
    </xf>
    <xf numFmtId="173" fontId="9" fillId="29" borderId="0" xfId="90" applyNumberFormat="1" applyFont="1" applyFill="1" applyBorder="1" applyAlignment="1">
      <alignment horizontal="right"/>
    </xf>
    <xf numFmtId="173" fontId="9" fillId="29" borderId="34" xfId="90" applyNumberFormat="1" applyFont="1" applyFill="1" applyBorder="1" applyAlignment="1">
      <alignment horizontal="right"/>
    </xf>
    <xf numFmtId="0" fontId="13" fillId="0" borderId="11" xfId="275" applyFont="1" applyBorder="1"/>
    <xf numFmtId="0" fontId="13" fillId="0" borderId="35" xfId="0" applyNumberFormat="1" applyFont="1" applyBorder="1" applyAlignment="1">
      <alignment horizontal="center"/>
    </xf>
    <xf numFmtId="0" fontId="13" fillId="0" borderId="0" xfId="275" applyFont="1" applyBorder="1"/>
    <xf numFmtId="0" fontId="13" fillId="0" borderId="34" xfId="0" applyNumberFormat="1" applyFont="1" applyBorder="1" applyAlignment="1">
      <alignment horizontal="center"/>
    </xf>
    <xf numFmtId="0" fontId="13" fillId="0" borderId="0" xfId="275" quotePrefix="1" applyFont="1" applyBorder="1" applyAlignment="1">
      <alignment horizontal="left"/>
    </xf>
    <xf numFmtId="173" fontId="9" fillId="29" borderId="36" xfId="90" applyNumberFormat="1" applyFont="1" applyFill="1" applyBorder="1" applyAlignment="1">
      <alignment horizontal="right"/>
    </xf>
    <xf numFmtId="0" fontId="128" fillId="0" borderId="0" xfId="0" applyFont="1" applyAlignment="1"/>
    <xf numFmtId="3" fontId="13" fillId="0" borderId="37" xfId="222" applyNumberFormat="1" applyFont="1" applyFill="1" applyBorder="1" applyAlignment="1">
      <alignment horizontal="center" wrapText="1"/>
    </xf>
    <xf numFmtId="3" fontId="13" fillId="0" borderId="11" xfId="222" applyNumberFormat="1" applyFont="1" applyFill="1" applyBorder="1" applyAlignment="1">
      <alignment horizontal="center" wrapText="1"/>
    </xf>
    <xf numFmtId="3" fontId="13" fillId="0" borderId="35" xfId="222" applyNumberFormat="1" applyFont="1" applyFill="1" applyBorder="1" applyAlignment="1">
      <alignment horizontal="center" wrapText="1"/>
    </xf>
    <xf numFmtId="0" fontId="10" fillId="0" borderId="0" xfId="275" applyFont="1" applyBorder="1" applyAlignment="1">
      <alignment horizontal="center"/>
    </xf>
    <xf numFmtId="0" fontId="10" fillId="0" borderId="33" xfId="275" applyFont="1" applyBorder="1" applyAlignment="1">
      <alignment horizontal="center"/>
    </xf>
    <xf numFmtId="0" fontId="10" fillId="0" borderId="34" xfId="275" applyFont="1" applyBorder="1" applyAlignment="1">
      <alignment horizontal="center"/>
    </xf>
    <xf numFmtId="0" fontId="10" fillId="0" borderId="33" xfId="275" applyFont="1" applyBorder="1" applyAlignment="1">
      <alignment horizontal="center" wrapText="1"/>
    </xf>
    <xf numFmtId="0" fontId="10" fillId="0" borderId="0" xfId="275" applyFont="1" applyBorder="1" applyAlignment="1">
      <alignment horizontal="center" wrapText="1"/>
    </xf>
    <xf numFmtId="0" fontId="10" fillId="0" borderId="34" xfId="275" applyFont="1" applyBorder="1" applyAlignment="1">
      <alignment horizontal="center" wrapText="1"/>
    </xf>
    <xf numFmtId="0" fontId="13" fillId="0" borderId="34" xfId="0" applyNumberFormat="1" applyFont="1" applyBorder="1" applyAlignment="1">
      <alignment horizontal="center" wrapText="1"/>
    </xf>
    <xf numFmtId="0" fontId="13" fillId="0" borderId="38" xfId="0" applyFont="1" applyBorder="1" applyAlignment="1"/>
    <xf numFmtId="0" fontId="13" fillId="0" borderId="2" xfId="0" applyFont="1" applyBorder="1" applyAlignment="1"/>
    <xf numFmtId="0" fontId="13" fillId="0" borderId="36" xfId="0" applyFont="1" applyBorder="1" applyAlignment="1"/>
    <xf numFmtId="0" fontId="10" fillId="0" borderId="2" xfId="275" applyFont="1" applyBorder="1" applyAlignment="1">
      <alignment horizontal="centerContinuous" wrapText="1"/>
    </xf>
    <xf numFmtId="0" fontId="13" fillId="0" borderId="36" xfId="0" applyNumberFormat="1" applyFont="1" applyBorder="1" applyAlignment="1">
      <alignment horizontal="center"/>
    </xf>
    <xf numFmtId="37" fontId="13" fillId="0" borderId="0" xfId="275" applyNumberFormat="1" applyFont="1"/>
    <xf numFmtId="173" fontId="13" fillId="0" borderId="31" xfId="90" applyNumberFormat="1" applyFont="1" applyBorder="1"/>
    <xf numFmtId="173" fontId="13" fillId="0" borderId="14" xfId="90" applyNumberFormat="1" applyFont="1" applyBorder="1"/>
    <xf numFmtId="0" fontId="13" fillId="0" borderId="39" xfId="275" applyFont="1" applyBorder="1" applyAlignment="1">
      <alignment horizontal="right"/>
    </xf>
    <xf numFmtId="0" fontId="13" fillId="0" borderId="40" xfId="0" applyNumberFormat="1" applyFont="1" applyBorder="1" applyAlignment="1">
      <alignment horizontal="center"/>
    </xf>
    <xf numFmtId="173" fontId="9" fillId="29" borderId="37" xfId="90" applyNumberFormat="1" applyFont="1" applyFill="1" applyBorder="1" applyAlignment="1">
      <alignment horizontal="right"/>
    </xf>
    <xf numFmtId="0" fontId="13" fillId="0" borderId="37" xfId="275" applyFont="1" applyBorder="1"/>
    <xf numFmtId="0" fontId="13" fillId="0" borderId="33" xfId="275" applyFont="1" applyBorder="1"/>
    <xf numFmtId="0" fontId="13" fillId="0" borderId="33" xfId="275" quotePrefix="1" applyFont="1" applyBorder="1" applyAlignment="1">
      <alignment horizontal="left"/>
    </xf>
    <xf numFmtId="173" fontId="9" fillId="29" borderId="38" xfId="90" applyNumberFormat="1" applyFont="1" applyFill="1" applyBorder="1" applyAlignment="1">
      <alignment horizontal="right"/>
    </xf>
    <xf numFmtId="3" fontId="25" fillId="0" borderId="37" xfId="222" applyNumberFormat="1" applyFont="1" applyFill="1" applyBorder="1" applyAlignment="1">
      <alignment horizontal="center" wrapText="1"/>
    </xf>
    <xf numFmtId="3" fontId="25" fillId="0" borderId="11" xfId="222" applyNumberFormat="1" applyFont="1" applyFill="1" applyBorder="1" applyAlignment="1">
      <alignment horizontal="center" wrapText="1"/>
    </xf>
    <xf numFmtId="0" fontId="10" fillId="0" borderId="33" xfId="262" applyFont="1" applyFill="1" applyBorder="1" applyAlignment="1">
      <alignment horizontal="center" wrapText="1"/>
    </xf>
    <xf numFmtId="0" fontId="13" fillId="0" borderId="0" xfId="0" applyFont="1" applyAlignment="1">
      <alignment wrapText="1"/>
    </xf>
    <xf numFmtId="0" fontId="10" fillId="0" borderId="38" xfId="275" applyFont="1" applyBorder="1" applyAlignment="1">
      <alignment horizontal="center" wrapText="1"/>
    </xf>
    <xf numFmtId="0" fontId="13" fillId="0" borderId="36" xfId="0" applyNumberFormat="1" applyFont="1" applyBorder="1" applyAlignment="1">
      <alignment horizontal="center" wrapText="1"/>
    </xf>
    <xf numFmtId="0" fontId="10" fillId="0" borderId="0" xfId="275" applyFont="1" applyAlignment="1">
      <alignment horizontal="centerContinuous"/>
    </xf>
    <xf numFmtId="0" fontId="13" fillId="0" borderId="0" xfId="200" applyFont="1"/>
    <xf numFmtId="0" fontId="10" fillId="0" borderId="0" xfId="275" applyFont="1" applyAlignment="1">
      <alignment horizontal="center"/>
    </xf>
    <xf numFmtId="0" fontId="13" fillId="0" borderId="0" xfId="275" applyFont="1" applyFill="1" applyAlignment="1">
      <alignment horizontal="left"/>
    </xf>
    <xf numFmtId="0" fontId="13" fillId="0" borderId="0" xfId="0" applyFont="1" applyAlignment="1">
      <alignment horizontal="right"/>
    </xf>
    <xf numFmtId="0" fontId="13" fillId="0" borderId="0" xfId="222" applyFont="1" applyFill="1" applyBorder="1" applyAlignment="1">
      <alignment horizontal="left"/>
    </xf>
    <xf numFmtId="0" fontId="18" fillId="0" borderId="0" xfId="222" applyFont="1" applyBorder="1" applyAlignment="1">
      <alignment horizontal="center" vertical="center"/>
    </xf>
    <xf numFmtId="0" fontId="18" fillId="0" borderId="0" xfId="263" applyFont="1" applyAlignment="1">
      <alignment horizontal="center" vertical="center" wrapText="1"/>
    </xf>
    <xf numFmtId="0" fontId="18" fillId="0" borderId="0" xfId="222" quotePrefix="1" applyFont="1" applyBorder="1" applyAlignment="1">
      <alignment horizontal="center" vertical="center" wrapText="1"/>
    </xf>
    <xf numFmtId="0" fontId="18" fillId="0" borderId="0" xfId="222" applyFont="1" applyFill="1" applyBorder="1" applyAlignment="1">
      <alignment horizontal="left" vertical="center"/>
    </xf>
    <xf numFmtId="0" fontId="13" fillId="0" borderId="0" xfId="0" applyFont="1" applyFill="1" applyAlignment="1"/>
    <xf numFmtId="0" fontId="13" fillId="0" borderId="0" xfId="0" applyFont="1" applyFill="1" applyAlignment="1">
      <alignment horizontal="center"/>
    </xf>
    <xf numFmtId="0" fontId="13"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4" fillId="0" borderId="0" xfId="86" applyNumberFormat="1" applyFont="1" applyFill="1" applyAlignment="1" applyProtection="1">
      <alignment horizontal="left"/>
      <protection locked="0"/>
    </xf>
    <xf numFmtId="173" fontId="64" fillId="0" borderId="11" xfId="86" applyNumberFormat="1" applyFont="1" applyFill="1" applyBorder="1" applyAlignment="1" applyProtection="1">
      <alignment horizontal="left"/>
      <protection locked="0"/>
    </xf>
    <xf numFmtId="0" fontId="16" fillId="0" borderId="0" xfId="0" applyFont="1" applyAlignment="1"/>
    <xf numFmtId="0" fontId="16" fillId="0" borderId="0" xfId="0" applyNumberFormat="1" applyFont="1" applyAlignment="1">
      <alignment horizontal="center"/>
    </xf>
    <xf numFmtId="0" fontId="16" fillId="0" borderId="0" xfId="0" applyFont="1" applyAlignment="1">
      <alignment horizontal="right"/>
    </xf>
    <xf numFmtId="0" fontId="93" fillId="0" borderId="0" xfId="275" applyFont="1" applyAlignment="1">
      <alignment horizontal="centerContinuous"/>
    </xf>
    <xf numFmtId="0" fontId="16" fillId="0" borderId="0" xfId="275" applyFont="1" applyFill="1" applyAlignment="1">
      <alignment horizontal="left"/>
    </xf>
    <xf numFmtId="0" fontId="93" fillId="0" borderId="0" xfId="275" applyFont="1" applyAlignment="1">
      <alignment horizontal="center"/>
    </xf>
    <xf numFmtId="0" fontId="10" fillId="0" borderId="41" xfId="275" applyFont="1" applyBorder="1" applyAlignment="1">
      <alignment horizontal="center" wrapText="1"/>
    </xf>
    <xf numFmtId="0" fontId="16" fillId="0" borderId="0" xfId="0" applyFont="1" applyAlignment="1">
      <alignment wrapText="1"/>
    </xf>
    <xf numFmtId="0" fontId="10" fillId="0" borderId="10" xfId="275" applyFont="1" applyBorder="1" applyAlignment="1">
      <alignment horizontal="center"/>
    </xf>
    <xf numFmtId="0" fontId="129" fillId="0" borderId="0" xfId="0" applyFont="1" applyAlignment="1"/>
    <xf numFmtId="3" fontId="25" fillId="0" borderId="35" xfId="222" applyNumberFormat="1" applyFont="1" applyFill="1" applyBorder="1" applyAlignment="1">
      <alignment horizontal="center" wrapText="1"/>
    </xf>
    <xf numFmtId="173" fontId="9" fillId="29" borderId="0" xfId="113" applyNumberFormat="1" applyFont="1" applyFill="1" applyAlignment="1" applyProtection="1">
      <protection locked="0"/>
    </xf>
    <xf numFmtId="41" fontId="13" fillId="0" borderId="10" xfId="275" applyNumberFormat="1" applyFont="1" applyFill="1" applyBorder="1"/>
    <xf numFmtId="173" fontId="13" fillId="0" borderId="42" xfId="89" applyNumberFormat="1" applyFont="1" applyBorder="1"/>
    <xf numFmtId="3" fontId="25" fillId="0" borderId="43" xfId="222" applyNumberFormat="1" applyFont="1" applyFill="1" applyBorder="1" applyAlignment="1">
      <alignment horizontal="center" wrapText="1"/>
    </xf>
    <xf numFmtId="0" fontId="16" fillId="0" borderId="0" xfId="275" applyFont="1"/>
    <xf numFmtId="37" fontId="16" fillId="0" borderId="0" xfId="275" applyNumberFormat="1" applyFont="1"/>
    <xf numFmtId="172" fontId="16" fillId="0" borderId="0" xfId="268" applyFont="1" applyAlignment="1"/>
    <xf numFmtId="0" fontId="13" fillId="0" borderId="0" xfId="265" applyFont="1" applyFill="1" applyAlignment="1" applyProtection="1">
      <alignment vertical="top"/>
    </xf>
    <xf numFmtId="0" fontId="129" fillId="0" borderId="0" xfId="0" applyNumberFormat="1" applyFont="1" applyAlignment="1">
      <alignment horizontal="center"/>
    </xf>
    <xf numFmtId="0" fontId="92" fillId="0" borderId="0" xfId="266" applyFont="1" applyFill="1" applyProtection="1"/>
    <xf numFmtId="0" fontId="93" fillId="0" borderId="0" xfId="0" applyFont="1" applyAlignment="1">
      <alignment horizontal="center"/>
    </xf>
    <xf numFmtId="0" fontId="93" fillId="0" borderId="0" xfId="0" quotePrefix="1" applyFont="1" applyAlignment="1">
      <alignment horizontal="center"/>
    </xf>
    <xf numFmtId="0" fontId="10" fillId="0" borderId="0" xfId="266" applyFont="1" applyFill="1" applyAlignment="1" applyProtection="1">
      <alignment horizontal="left"/>
    </xf>
    <xf numFmtId="173" fontId="13" fillId="0" borderId="0" xfId="89" applyNumberFormat="1" applyFont="1" applyFill="1" applyProtection="1"/>
    <xf numFmtId="0" fontId="13" fillId="0" borderId="0" xfId="266" applyFont="1" applyFill="1" applyProtection="1"/>
    <xf numFmtId="0" fontId="13" fillId="0" borderId="0" xfId="193"/>
    <xf numFmtId="0" fontId="13" fillId="0" borderId="0" xfId="266" applyFont="1" applyFill="1" applyAlignment="1" applyProtection="1">
      <alignment horizontal="left"/>
    </xf>
    <xf numFmtId="173" fontId="9" fillId="29" borderId="0" xfId="89" applyNumberFormat="1" applyFont="1" applyFill="1" applyProtection="1">
      <protection locked="0"/>
    </xf>
    <xf numFmtId="0" fontId="13" fillId="0" borderId="0" xfId="265" applyFont="1" applyFill="1" applyAlignment="1" applyProtection="1">
      <alignment horizontal="left"/>
    </xf>
    <xf numFmtId="173" fontId="9" fillId="0" borderId="0" xfId="89" applyNumberFormat="1" applyFont="1" applyFill="1" applyProtection="1">
      <protection locked="0"/>
    </xf>
    <xf numFmtId="0" fontId="13" fillId="0" borderId="0" xfId="193" applyProtection="1"/>
    <xf numFmtId="10" fontId="13" fillId="0" borderId="0" xfId="283" applyNumberFormat="1" applyFont="1" applyFill="1" applyBorder="1" applyProtection="1"/>
    <xf numFmtId="173" fontId="9" fillId="29" borderId="6" xfId="89" applyNumberFormat="1" applyFont="1" applyFill="1" applyBorder="1" applyAlignment="1" applyProtection="1">
      <protection locked="0"/>
    </xf>
    <xf numFmtId="10" fontId="10" fillId="0" borderId="0" xfId="283" applyNumberFormat="1" applyFont="1" applyFill="1" applyBorder="1" applyProtection="1"/>
    <xf numFmtId="0" fontId="10" fillId="0" borderId="0" xfId="266" applyFont="1" applyFill="1" applyProtection="1"/>
    <xf numFmtId="173" fontId="13" fillId="0" borderId="0" xfId="283" applyNumberFormat="1" applyFont="1" applyFill="1" applyBorder="1" applyProtection="1"/>
    <xf numFmtId="10" fontId="10" fillId="0" borderId="44" xfId="283" applyNumberFormat="1" applyFont="1" applyFill="1" applyBorder="1" applyProtection="1"/>
    <xf numFmtId="0" fontId="101" fillId="0" borderId="0" xfId="193" applyFont="1" applyAlignment="1" applyProtection="1">
      <alignment horizontal="center"/>
    </xf>
    <xf numFmtId="0" fontId="16" fillId="0" borderId="0" xfId="266" applyFont="1" applyFill="1" applyProtection="1"/>
    <xf numFmtId="0" fontId="16" fillId="0" borderId="0" xfId="266" applyFont="1" applyProtection="1"/>
    <xf numFmtId="41" fontId="10" fillId="0" borderId="0" xfId="266" applyNumberFormat="1" applyFont="1" applyFill="1" applyBorder="1" applyAlignment="1" applyProtection="1">
      <alignment horizontal="center" wrapText="1"/>
    </xf>
    <xf numFmtId="0" fontId="9" fillId="29" borderId="0" xfId="266" applyFont="1" applyFill="1" applyProtection="1">
      <protection locked="0"/>
    </xf>
    <xf numFmtId="173" fontId="16" fillId="0" borderId="0" xfId="266" applyNumberFormat="1" applyFont="1" applyFill="1" applyProtection="1"/>
    <xf numFmtId="37" fontId="9" fillId="29" borderId="0" xfId="266" applyNumberFormat="1" applyFont="1" applyFill="1" applyProtection="1">
      <protection locked="0"/>
    </xf>
    <xf numFmtId="173" fontId="9" fillId="29" borderId="0" xfId="266" applyNumberFormat="1" applyFont="1" applyFill="1" applyProtection="1">
      <protection locked="0"/>
    </xf>
    <xf numFmtId="0" fontId="83" fillId="29" borderId="0" xfId="266" applyFont="1" applyFill="1" applyProtection="1">
      <protection locked="0"/>
    </xf>
    <xf numFmtId="0" fontId="13" fillId="0" borderId="11" xfId="0" applyFont="1" applyBorder="1" applyProtection="1"/>
    <xf numFmtId="0" fontId="16" fillId="0" borderId="11" xfId="266" applyFont="1" applyFill="1" applyBorder="1" applyProtection="1"/>
    <xf numFmtId="0" fontId="13" fillId="26" borderId="0" xfId="266" applyFont="1" applyFill="1" applyAlignment="1" applyProtection="1">
      <alignment horizontal="left"/>
    </xf>
    <xf numFmtId="41" fontId="13" fillId="0" borderId="0" xfId="283" applyNumberFormat="1" applyFont="1" applyFill="1" applyBorder="1" applyProtection="1"/>
    <xf numFmtId="173" fontId="16" fillId="0" borderId="0" xfId="266" applyNumberFormat="1" applyFont="1" applyProtection="1"/>
    <xf numFmtId="184" fontId="13" fillId="0" borderId="0" xfId="89" applyNumberFormat="1" applyFont="1" applyFill="1" applyBorder="1" applyProtection="1"/>
    <xf numFmtId="10" fontId="16" fillId="0" borderId="0" xfId="283" applyNumberFormat="1" applyFont="1" applyFill="1" applyProtection="1"/>
    <xf numFmtId="173" fontId="13" fillId="0" borderId="0" xfId="89" applyNumberFormat="1" applyFont="1" applyFill="1" applyBorder="1" applyProtection="1"/>
    <xf numFmtId="173" fontId="10" fillId="0" borderId="44" xfId="89" applyNumberFormat="1" applyFont="1" applyFill="1" applyBorder="1" applyProtection="1"/>
    <xf numFmtId="0" fontId="92" fillId="0" borderId="0" xfId="266" applyFont="1" applyFill="1" applyAlignment="1" applyProtection="1">
      <alignment horizontal="left"/>
    </xf>
    <xf numFmtId="0" fontId="16" fillId="0" borderId="0" xfId="266" applyFont="1" applyFill="1" applyAlignment="1" applyProtection="1">
      <alignment horizontal="left"/>
    </xf>
    <xf numFmtId="0" fontId="18" fillId="0" borderId="0" xfId="266" applyFont="1" applyFill="1" applyAlignment="1" applyProtection="1">
      <alignment horizontal="left"/>
    </xf>
    <xf numFmtId="0" fontId="18" fillId="0" borderId="0" xfId="266" applyFont="1" applyFill="1" applyAlignment="1" applyProtection="1">
      <alignment horizontal="center" wrapText="1"/>
    </xf>
    <xf numFmtId="0" fontId="13" fillId="0" borderId="0" xfId="266" applyFill="1" applyProtection="1"/>
    <xf numFmtId="164" fontId="9" fillId="29" borderId="0" xfId="283" applyNumberFormat="1" applyFont="1" applyFill="1" applyAlignment="1" applyProtection="1">
      <alignment horizontal="right" wrapText="1"/>
      <protection locked="0"/>
    </xf>
    <xf numFmtId="44" fontId="9" fillId="29" borderId="0" xfId="124" applyFont="1" applyFill="1" applyAlignment="1" applyProtection="1">
      <alignment horizontal="right" wrapText="1"/>
      <protection locked="0"/>
    </xf>
    <xf numFmtId="41" fontId="9" fillId="0" borderId="0" xfId="266" applyNumberFormat="1" applyFont="1" applyFill="1" applyBorder="1" applyProtection="1"/>
    <xf numFmtId="173" fontId="13" fillId="0" borderId="0" xfId="89" applyNumberFormat="1" applyFill="1" applyProtection="1"/>
    <xf numFmtId="41" fontId="13" fillId="0" borderId="0" xfId="0" applyNumberFormat="1" applyFont="1" applyFill="1" applyProtection="1"/>
    <xf numFmtId="41" fontId="13" fillId="0" borderId="0" xfId="266" applyNumberFormat="1" applyFill="1" applyBorder="1" applyProtection="1"/>
    <xf numFmtId="41" fontId="93" fillId="0" borderId="0" xfId="266" applyNumberFormat="1" applyFont="1" applyFill="1" applyProtection="1"/>
    <xf numFmtId="41" fontId="13" fillId="0" borderId="12" xfId="266" applyNumberFormat="1" applyFont="1" applyFill="1" applyBorder="1" applyProtection="1"/>
    <xf numFmtId="41" fontId="10" fillId="0" borderId="41" xfId="266" applyNumberFormat="1" applyFont="1" applyFill="1" applyBorder="1" applyProtection="1"/>
    <xf numFmtId="0" fontId="10" fillId="0" borderId="0" xfId="266" applyFont="1" applyFill="1" applyBorder="1" applyProtection="1"/>
    <xf numFmtId="0" fontId="10"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4" fillId="0" borderId="0" xfId="0" applyFont="1" applyFill="1" applyAlignment="1">
      <alignment horizontal="center"/>
    </xf>
    <xf numFmtId="3" fontId="0" fillId="0" borderId="0" xfId="0" applyNumberFormat="1" applyFont="1" applyFill="1" applyAlignment="1">
      <alignment horizontal="centerContinuous"/>
    </xf>
    <xf numFmtId="3" fontId="14" fillId="0" borderId="0" xfId="0" applyNumberFormat="1" applyFont="1" applyFill="1" applyAlignment="1">
      <alignment horizontal="centerContinuous"/>
    </xf>
    <xf numFmtId="3" fontId="0" fillId="0" borderId="0" xfId="0" applyNumberFormat="1" applyFill="1" applyAlignment="1">
      <alignment horizontal="centerContinuous"/>
    </xf>
    <xf numFmtId="3" fontId="13"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30" borderId="0" xfId="0" applyNumberFormat="1" applyFont="1" applyFill="1" applyAlignment="1"/>
    <xf numFmtId="37" fontId="0" fillId="0" borderId="0" xfId="0" applyNumberFormat="1" applyFill="1" applyAlignment="1"/>
    <xf numFmtId="37" fontId="13" fillId="0" borderId="0" xfId="0" applyNumberFormat="1" applyFont="1" applyFill="1" applyAlignment="1"/>
    <xf numFmtId="37" fontId="0" fillId="0" borderId="47" xfId="0" applyNumberFormat="1" applyFont="1" applyFill="1" applyBorder="1" applyAlignment="1"/>
    <xf numFmtId="37" fontId="13"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4" fillId="0" borderId="0" xfId="0" applyFont="1" applyAlignment="1">
      <alignment horizontal="center"/>
    </xf>
    <xf numFmtId="3" fontId="0" fillId="0" borderId="0" xfId="0" applyNumberFormat="1" applyFont="1" applyAlignment="1">
      <alignment horizontal="centerContinuous"/>
    </xf>
    <xf numFmtId="3" fontId="14"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53" fillId="0" borderId="46" xfId="0" applyNumberFormat="1" applyFont="1" applyFill="1" applyBorder="1" applyAlignment="1"/>
    <xf numFmtId="37" fontId="153" fillId="0" borderId="0" xfId="0" applyNumberFormat="1" applyFont="1" applyFill="1" applyAlignment="1"/>
    <xf numFmtId="185" fontId="13" fillId="0" borderId="0" xfId="263" applyNumberFormat="1" applyFont="1" applyFill="1"/>
    <xf numFmtId="3" fontId="13" fillId="0" borderId="0" xfId="0" applyNumberFormat="1" applyFont="1" applyFill="1" applyAlignment="1">
      <alignment horizontal="center"/>
    </xf>
    <xf numFmtId="4" fontId="13" fillId="0" borderId="0" xfId="0" applyNumberFormat="1" applyFont="1" applyFill="1" applyAlignment="1">
      <alignment horizontal="center"/>
    </xf>
    <xf numFmtId="0" fontId="154" fillId="0" borderId="0" xfId="272" applyNumberFormat="1" applyFont="1" applyFill="1" applyAlignment="1" applyProtection="1">
      <alignment horizontal="center"/>
    </xf>
    <xf numFmtId="172" fontId="155" fillId="0" borderId="0" xfId="272" applyFont="1" applyFill="1" applyAlignment="1" applyProtection="1"/>
    <xf numFmtId="197" fontId="9" fillId="29" borderId="0" xfId="263" applyNumberFormat="1" applyFont="1" applyFill="1" applyProtection="1">
      <protection locked="0"/>
    </xf>
    <xf numFmtId="0" fontId="156" fillId="0" borderId="0" xfId="0" applyFont="1" applyFill="1" applyAlignment="1">
      <alignment horizontal="left"/>
    </xf>
    <xf numFmtId="10" fontId="72" fillId="29" borderId="0" xfId="281" applyNumberFormat="1" applyFont="1" applyFill="1" applyAlignment="1" applyProtection="1">
      <alignment horizontal="center"/>
      <protection locked="0"/>
    </xf>
    <xf numFmtId="10" fontId="72" fillId="29" borderId="0" xfId="273" applyNumberFormat="1" applyFont="1" applyFill="1" applyAlignment="1" applyProtection="1">
      <alignment horizontal="center"/>
      <protection locked="0"/>
    </xf>
    <xf numFmtId="173" fontId="19" fillId="0" borderId="0" xfId="273" applyNumberFormat="1" applyFont="1"/>
    <xf numFmtId="0" fontId="19" fillId="0" borderId="0" xfId="273" applyNumberFormat="1" applyFont="1" applyAlignment="1">
      <alignment horizontal="center" vertical="center"/>
    </xf>
    <xf numFmtId="0" fontId="19" fillId="0" borderId="0" xfId="273" applyNumberFormat="1" applyFont="1" applyAlignment="1">
      <alignment vertical="center"/>
    </xf>
    <xf numFmtId="0" fontId="72" fillId="0" borderId="0" xfId="273" applyFont="1" applyFill="1" applyAlignment="1">
      <alignment horizontal="center"/>
    </xf>
    <xf numFmtId="0" fontId="157" fillId="0" borderId="0" xfId="273" applyFont="1" applyFill="1" applyAlignment="1">
      <alignment horizontal="right"/>
    </xf>
    <xf numFmtId="173" fontId="157" fillId="0" borderId="0" xfId="273" applyNumberFormat="1" applyFont="1" applyFill="1"/>
    <xf numFmtId="0" fontId="19" fillId="0" borderId="0" xfId="273" applyFont="1" applyAlignment="1">
      <alignment horizontal="left" indent="2"/>
    </xf>
    <xf numFmtId="0" fontId="133" fillId="0" borderId="0" xfId="273" applyNumberFormat="1" applyFont="1" applyAlignment="1">
      <alignment horizontal="center"/>
    </xf>
    <xf numFmtId="0" fontId="133" fillId="0" borderId="0" xfId="273" applyNumberFormat="1" applyFont="1"/>
    <xf numFmtId="0" fontId="6" fillId="0" borderId="0" xfId="272" applyNumberFormat="1" applyFont="1" applyFill="1" applyAlignment="1" applyProtection="1">
      <alignment horizontal="left" wrapText="1"/>
    </xf>
    <xf numFmtId="0" fontId="158" fillId="0" borderId="11" xfId="273" applyNumberFormat="1" applyFont="1" applyFill="1" applyBorder="1" applyAlignment="1">
      <alignment horizontal="center"/>
    </xf>
    <xf numFmtId="0" fontId="158" fillId="0" borderId="2" xfId="273" applyNumberFormat="1" applyFont="1" applyFill="1" applyBorder="1" applyAlignment="1">
      <alignment horizontal="center"/>
    </xf>
    <xf numFmtId="0" fontId="75" fillId="0" borderId="0" xfId="273" applyFont="1" applyFill="1" applyAlignment="1">
      <alignment horizontal="center" vertical="center"/>
    </xf>
    <xf numFmtId="0" fontId="19" fillId="0" borderId="11" xfId="273" applyNumberFormat="1" applyFont="1" applyBorder="1" applyAlignment="1">
      <alignment horizontal="center"/>
    </xf>
    <xf numFmtId="0" fontId="19" fillId="0" borderId="11" xfId="273" applyNumberFormat="1" applyFont="1" applyBorder="1"/>
    <xf numFmtId="0" fontId="19" fillId="0" borderId="11" xfId="273" applyFont="1" applyBorder="1"/>
    <xf numFmtId="173" fontId="78" fillId="0" borderId="11" xfId="273" applyNumberFormat="1" applyFont="1" applyFill="1" applyBorder="1" applyProtection="1">
      <protection locked="0"/>
    </xf>
    <xf numFmtId="173" fontId="72" fillId="0" borderId="11" xfId="273" applyNumberFormat="1" applyFont="1" applyFill="1" applyBorder="1"/>
    <xf numFmtId="0" fontId="72" fillId="0" borderId="11" xfId="273" applyFont="1" applyFill="1" applyBorder="1" applyAlignment="1" applyProtection="1">
      <alignment horizontal="center"/>
      <protection locked="0"/>
    </xf>
    <xf numFmtId="173" fontId="72" fillId="0" borderId="11" xfId="86" applyNumberFormat="1" applyFont="1" applyFill="1" applyBorder="1" applyAlignment="1" applyProtection="1">
      <alignment horizontal="center"/>
      <protection locked="0"/>
    </xf>
    <xf numFmtId="0" fontId="134" fillId="0" borderId="0" xfId="272" applyNumberFormat="1" applyFont="1" applyFill="1" applyAlignment="1" applyProtection="1">
      <alignment horizontal="center"/>
    </xf>
    <xf numFmtId="172" fontId="154" fillId="0" borderId="0" xfId="272" applyFont="1" applyFill="1" applyAlignment="1" applyProtection="1"/>
    <xf numFmtId="0" fontId="9" fillId="29" borderId="0" xfId="90" applyNumberFormat="1" applyFont="1" applyFill="1" applyBorder="1" applyAlignment="1" applyProtection="1">
      <alignment horizontal="center"/>
      <protection locked="0"/>
    </xf>
    <xf numFmtId="41" fontId="9" fillId="29" borderId="0" xfId="265" applyNumberFormat="1" applyFont="1" applyFill="1"/>
    <xf numFmtId="172" fontId="7" fillId="0" borderId="0" xfId="272" applyFont="1" applyFill="1" applyAlignment="1" applyProtection="1">
      <alignment horizontal="center"/>
    </xf>
    <xf numFmtId="3" fontId="7" fillId="0" borderId="0" xfId="272" applyNumberFormat="1" applyFont="1" applyFill="1" applyAlignment="1" applyProtection="1">
      <alignment horizontal="center" vertical="center"/>
    </xf>
    <xf numFmtId="0" fontId="4" fillId="0" borderId="0" xfId="272" applyNumberFormat="1" applyFont="1" applyFill="1" applyBorder="1" applyAlignment="1" applyProtection="1">
      <alignment horizontal="center"/>
    </xf>
    <xf numFmtId="3" fontId="15" fillId="0" borderId="0" xfId="272" applyNumberFormat="1" applyFont="1" applyFill="1" applyAlignment="1" applyProtection="1">
      <alignment horizontal="center"/>
    </xf>
    <xf numFmtId="0" fontId="4" fillId="0" borderId="6" xfId="272" applyNumberFormat="1" applyFont="1" applyFill="1" applyBorder="1" applyAlignment="1" applyProtection="1">
      <alignment horizontal="center"/>
    </xf>
    <xf numFmtId="0" fontId="6" fillId="0" borderId="0" xfId="272" applyNumberFormat="1" applyFont="1" applyFill="1" applyBorder="1" applyAlignment="1" applyProtection="1">
      <alignment vertical="center"/>
    </xf>
    <xf numFmtId="41" fontId="6" fillId="0" borderId="40" xfId="272" applyNumberFormat="1" applyFont="1" applyFill="1" applyBorder="1" applyAlignment="1" applyProtection="1"/>
    <xf numFmtId="0" fontId="13" fillId="0" borderId="0" xfId="0" applyFont="1" applyFill="1" applyAlignment="1" applyProtection="1">
      <alignment horizontal="center"/>
    </xf>
    <xf numFmtId="0" fontId="13" fillId="0" borderId="0" xfId="0" applyFont="1" applyFill="1" applyAlignment="1" applyProtection="1">
      <alignment horizontal="center" wrapText="1"/>
    </xf>
    <xf numFmtId="0" fontId="6" fillId="0" borderId="0" xfId="0" applyFont="1" applyFill="1" applyAlignment="1" applyProtection="1">
      <alignment horizontal="center"/>
    </xf>
    <xf numFmtId="0" fontId="64" fillId="0" borderId="0" xfId="0" applyFont="1" applyFill="1" applyProtection="1"/>
    <xf numFmtId="3" fontId="10" fillId="0" borderId="0" xfId="0" applyNumberFormat="1" applyFont="1" applyFill="1" applyAlignment="1">
      <alignment horizontal="left"/>
    </xf>
    <xf numFmtId="3" fontId="13" fillId="0" borderId="0" xfId="0" applyNumberFormat="1" applyFont="1" applyFill="1" applyAlignment="1"/>
    <xf numFmtId="37" fontId="13" fillId="0" borderId="0" xfId="0" applyNumberFormat="1" applyFont="1"/>
    <xf numFmtId="0" fontId="13" fillId="0" borderId="0" xfId="0" applyFont="1" applyFill="1" applyAlignment="1" applyProtection="1">
      <alignment horizontal="left"/>
    </xf>
    <xf numFmtId="0" fontId="14" fillId="0" borderId="0" xfId="0" applyFont="1" applyFill="1" applyAlignment="1" applyProtection="1">
      <alignment horizontal="left"/>
    </xf>
    <xf numFmtId="0" fontId="13" fillId="0" borderId="0" xfId="0" applyFont="1" applyFill="1" applyAlignment="1" applyProtection="1">
      <alignment vertical="top"/>
    </xf>
    <xf numFmtId="0" fontId="13" fillId="0" borderId="0" xfId="0" applyFont="1" applyFill="1" applyAlignment="1" applyProtection="1">
      <alignment vertical="top" wrapText="1"/>
    </xf>
    <xf numFmtId="0" fontId="104" fillId="0" borderId="0" xfId="0" applyFont="1" applyFill="1" applyAlignment="1" applyProtection="1">
      <alignment horizontal="center"/>
    </xf>
    <xf numFmtId="0" fontId="13" fillId="0" borderId="0" xfId="276" applyFont="1" applyFill="1" applyAlignment="1" applyProtection="1">
      <alignment horizontal="center"/>
    </xf>
    <xf numFmtId="38" fontId="9" fillId="0" borderId="0" xfId="0" applyNumberFormat="1" applyFont="1" applyFill="1" applyBorder="1" applyProtection="1">
      <protection locked="0"/>
    </xf>
    <xf numFmtId="0" fontId="7" fillId="0" borderId="0" xfId="264" applyFont="1" applyFill="1" applyBorder="1"/>
    <xf numFmtId="0" fontId="74" fillId="0" borderId="0" xfId="273" applyFont="1" applyFill="1" applyAlignment="1">
      <alignment vertical="center" wrapText="1"/>
    </xf>
    <xf numFmtId="0" fontId="7" fillId="0" borderId="0" xfId="263" quotePrefix="1" applyFont="1" applyFill="1" applyBorder="1" applyAlignment="1">
      <alignment horizontal="center"/>
    </xf>
    <xf numFmtId="0" fontId="5" fillId="0" borderId="11" xfId="273" applyNumberFormat="1" applyFont="1" applyFill="1" applyBorder="1" applyAlignment="1">
      <alignment horizontal="center" wrapText="1"/>
    </xf>
    <xf numFmtId="0" fontId="5" fillId="0" borderId="11" xfId="273" applyNumberFormat="1" applyFont="1" applyFill="1" applyBorder="1" applyAlignment="1">
      <alignment horizontal="center" vertical="center"/>
    </xf>
    <xf numFmtId="183" fontId="5" fillId="0" borderId="11" xfId="273" applyNumberFormat="1" applyFont="1" applyFill="1" applyBorder="1" applyAlignment="1">
      <alignment horizontal="center" vertical="center" wrapText="1"/>
    </xf>
    <xf numFmtId="0" fontId="5" fillId="0" borderId="11" xfId="273" applyNumberFormat="1" applyFont="1" applyFill="1" applyBorder="1" applyAlignment="1">
      <alignment horizontal="center" vertical="center" wrapText="1"/>
    </xf>
    <xf numFmtId="183" fontId="5" fillId="0" borderId="11" xfId="273" applyNumberFormat="1" applyFont="1" applyFill="1" applyBorder="1" applyAlignment="1">
      <alignment horizontal="center" vertical="center"/>
    </xf>
    <xf numFmtId="0" fontId="13" fillId="0" borderId="0" xfId="0" applyFont="1" applyFill="1" applyAlignment="1">
      <alignment vertical="center"/>
    </xf>
    <xf numFmtId="173" fontId="75" fillId="0" borderId="0" xfId="273" applyNumberFormat="1" applyFont="1" applyFill="1" applyBorder="1" applyAlignment="1">
      <alignment vertical="center"/>
    </xf>
    <xf numFmtId="0" fontId="5" fillId="0" borderId="0" xfId="273" applyFont="1" applyFill="1" applyAlignment="1">
      <alignment horizontal="right" vertical="center"/>
    </xf>
    <xf numFmtId="0" fontId="72" fillId="0" borderId="0" xfId="273" applyFont="1" applyFill="1" applyAlignment="1">
      <alignment wrapText="1"/>
    </xf>
    <xf numFmtId="0" fontId="13" fillId="0" borderId="0" xfId="267" applyFont="1" applyFill="1" applyAlignment="1" applyProtection="1">
      <alignment horizontal="left"/>
    </xf>
    <xf numFmtId="0" fontId="13" fillId="0" borderId="0" xfId="193" applyFont="1" applyFill="1" applyAlignment="1" applyProtection="1">
      <alignment wrapText="1"/>
    </xf>
    <xf numFmtId="0" fontId="13" fillId="0" borderId="0" xfId="193" applyFont="1" applyFill="1" applyProtection="1"/>
    <xf numFmtId="173" fontId="72" fillId="0" borderId="0" xfId="86" applyNumberFormat="1" applyFont="1" applyFill="1" applyAlignment="1" applyProtection="1">
      <alignment horizontal="center"/>
      <protection locked="0"/>
    </xf>
    <xf numFmtId="0" fontId="13" fillId="0" borderId="0" xfId="175"/>
    <xf numFmtId="0" fontId="107" fillId="0" borderId="0" xfId="274" applyFont="1" applyProtection="1">
      <protection locked="0"/>
    </xf>
    <xf numFmtId="0" fontId="77" fillId="0" borderId="30" xfId="274" applyFont="1" applyBorder="1" applyAlignment="1">
      <alignment horizontal="center"/>
    </xf>
    <xf numFmtId="0" fontId="77" fillId="0" borderId="0" xfId="274" applyFont="1"/>
    <xf numFmtId="0" fontId="108" fillId="0" borderId="0" xfId="274" applyFont="1" applyAlignment="1">
      <alignment horizontal="center"/>
    </xf>
    <xf numFmtId="0" fontId="109" fillId="0" borderId="0" xfId="274" applyFont="1" applyProtection="1">
      <protection locked="0"/>
    </xf>
    <xf numFmtId="175" fontId="108" fillId="0" borderId="0" xfId="274" applyNumberFormat="1" applyFont="1" applyAlignment="1">
      <alignment horizontal="center"/>
    </xf>
    <xf numFmtId="0" fontId="108" fillId="0" borderId="0" xfId="274" applyFont="1"/>
    <xf numFmtId="0" fontId="4" fillId="0" borderId="0" xfId="274"/>
    <xf numFmtId="175" fontId="4" fillId="0" borderId="0" xfId="274" applyNumberFormat="1"/>
    <xf numFmtId="0" fontId="110" fillId="0" borderId="0" xfId="274" applyFont="1" applyProtection="1">
      <protection locked="0"/>
    </xf>
    <xf numFmtId="175" fontId="107" fillId="0" borderId="0" xfId="274" applyNumberFormat="1" applyFont="1" applyProtection="1">
      <protection locked="0"/>
    </xf>
    <xf numFmtId="0" fontId="111" fillId="0" borderId="16" xfId="274" applyFont="1" applyBorder="1"/>
    <xf numFmtId="0" fontId="107" fillId="0" borderId="16" xfId="274" applyFont="1" applyBorder="1" applyProtection="1">
      <protection locked="0"/>
    </xf>
    <xf numFmtId="0" fontId="107" fillId="0" borderId="0" xfId="274" applyFont="1" applyBorder="1" applyProtection="1">
      <protection locked="0"/>
    </xf>
    <xf numFmtId="0" fontId="4" fillId="0" borderId="0" xfId="274" applyFont="1" applyBorder="1"/>
    <xf numFmtId="0" fontId="112" fillId="0" borderId="0" xfId="274" applyFont="1" applyProtection="1">
      <protection locked="0"/>
    </xf>
    <xf numFmtId="0" fontId="113" fillId="0" borderId="0" xfId="274" applyFont="1"/>
    <xf numFmtId="0" fontId="114" fillId="0" borderId="0" xfId="274" applyFont="1"/>
    <xf numFmtId="0" fontId="6" fillId="0" borderId="0" xfId="271" applyFont="1"/>
    <xf numFmtId="0" fontId="13" fillId="0" borderId="0" xfId="271"/>
    <xf numFmtId="0" fontId="13" fillId="0" borderId="0" xfId="271" applyAlignment="1">
      <alignment horizontal="center"/>
    </xf>
    <xf numFmtId="0" fontId="136" fillId="0" borderId="0" xfId="274" applyFont="1" applyAlignment="1">
      <alignment horizontal="center"/>
    </xf>
    <xf numFmtId="0" fontId="13" fillId="0" borderId="0" xfId="175" applyAlignment="1">
      <alignment wrapText="1"/>
    </xf>
    <xf numFmtId="10" fontId="4" fillId="0" borderId="0" xfId="274" applyNumberFormat="1" applyAlignment="1" applyProtection="1">
      <alignment horizontal="center"/>
    </xf>
    <xf numFmtId="0" fontId="111" fillId="0" borderId="0" xfId="274" applyFont="1" applyBorder="1"/>
    <xf numFmtId="0" fontId="4" fillId="0" borderId="0" xfId="274" applyAlignment="1">
      <alignment horizontal="center"/>
    </xf>
    <xf numFmtId="10" fontId="4" fillId="0" borderId="0" xfId="274" applyNumberFormat="1" applyAlignment="1" applyProtection="1">
      <alignment horizontal="right"/>
    </xf>
    <xf numFmtId="193" fontId="77" fillId="0" borderId="0" xfId="274" applyNumberFormat="1" applyFont="1" applyProtection="1"/>
    <xf numFmtId="10" fontId="77" fillId="0" borderId="0" xfId="274" applyNumberFormat="1" applyFont="1" applyProtection="1"/>
    <xf numFmtId="0" fontId="4" fillId="0" borderId="0" xfId="274" applyAlignment="1"/>
    <xf numFmtId="0" fontId="4" fillId="0" borderId="0" xfId="274" applyFont="1" applyFill="1" applyBorder="1"/>
    <xf numFmtId="193" fontId="4" fillId="0" borderId="0" xfId="274" applyNumberFormat="1" applyBorder="1" applyProtection="1"/>
    <xf numFmtId="0" fontId="111" fillId="0" borderId="30" xfId="274" applyFont="1" applyBorder="1"/>
    <xf numFmtId="0" fontId="107" fillId="0" borderId="30" xfId="274" applyFont="1" applyBorder="1" applyProtection="1">
      <protection locked="0"/>
    </xf>
    <xf numFmtId="10" fontId="4" fillId="0" borderId="30" xfId="274" applyNumberFormat="1" applyBorder="1" applyProtection="1"/>
    <xf numFmtId="0" fontId="7" fillId="0" borderId="0" xfId="0" applyFont="1" applyAlignment="1"/>
    <xf numFmtId="0" fontId="6" fillId="0" borderId="0" xfId="0" applyFont="1" applyAlignment="1">
      <alignment horizontal="left" indent="1"/>
    </xf>
    <xf numFmtId="10" fontId="6" fillId="0" borderId="0" xfId="226" applyNumberFormat="1" applyFont="1" applyFill="1" applyAlignment="1">
      <alignment horizontal="center"/>
    </xf>
    <xf numFmtId="0" fontId="7" fillId="0" borderId="0" xfId="193" applyFont="1" applyAlignment="1">
      <alignment horizontal="right"/>
    </xf>
    <xf numFmtId="10" fontId="6" fillId="0" borderId="0" xfId="226" applyNumberFormat="1" applyFont="1" applyFill="1" applyAlignment="1">
      <alignment horizontal="right"/>
    </xf>
    <xf numFmtId="176" fontId="6" fillId="0" borderId="0" xfId="86" applyNumberFormat="1" applyFont="1" applyAlignment="1">
      <alignment horizontal="center"/>
    </xf>
    <xf numFmtId="0" fontId="13" fillId="0" borderId="32" xfId="0" applyNumberFormat="1" applyFont="1" applyBorder="1" applyAlignment="1">
      <alignment horizontal="center"/>
    </xf>
    <xf numFmtId="0" fontId="13" fillId="0" borderId="31" xfId="275" applyFont="1" applyBorder="1" applyAlignment="1">
      <alignment horizontal="right"/>
    </xf>
    <xf numFmtId="0" fontId="138" fillId="0" borderId="0" xfId="0" applyFont="1" applyAlignment="1">
      <alignment vertical="center"/>
    </xf>
    <xf numFmtId="0" fontId="139" fillId="0" borderId="0" xfId="0" applyFont="1"/>
    <xf numFmtId="0" fontId="134" fillId="0" borderId="0" xfId="0" applyFont="1" applyAlignment="1"/>
    <xf numFmtId="0" fontId="134" fillId="0" borderId="0" xfId="0" applyFont="1" applyAlignment="1">
      <alignment horizontal="left"/>
    </xf>
    <xf numFmtId="0" fontId="134" fillId="0" borderId="0" xfId="222" applyFont="1" applyBorder="1" applyAlignment="1">
      <alignment horizontal="center"/>
    </xf>
    <xf numFmtId="0" fontId="139" fillId="0" borderId="0" xfId="0" applyFont="1" applyAlignment="1">
      <alignment horizontal="center"/>
    </xf>
    <xf numFmtId="0" fontId="140" fillId="0" borderId="0" xfId="222" applyFont="1" applyBorder="1" applyAlignment="1"/>
    <xf numFmtId="0" fontId="134" fillId="0" borderId="0" xfId="222" applyFont="1" applyBorder="1" applyAlignment="1">
      <alignment horizontal="left"/>
    </xf>
    <xf numFmtId="0" fontId="134" fillId="0" borderId="0" xfId="222" applyFont="1" applyBorder="1" applyAlignment="1"/>
    <xf numFmtId="3" fontId="134" fillId="0" borderId="0" xfId="0" applyNumberFormat="1" applyFont="1" applyAlignment="1"/>
    <xf numFmtId="3" fontId="134" fillId="0" borderId="0" xfId="0" applyNumberFormat="1" applyFont="1" applyAlignment="1">
      <alignment horizontal="left"/>
    </xf>
    <xf numFmtId="0" fontId="141" fillId="0" borderId="0" xfId="0" applyFont="1" applyAlignment="1">
      <alignment horizontal="center"/>
    </xf>
    <xf numFmtId="0" fontId="142" fillId="0" borderId="0" xfId="0" applyFont="1" applyAlignment="1"/>
    <xf numFmtId="0" fontId="141" fillId="0" borderId="0" xfId="0" applyFont="1" applyAlignment="1">
      <alignment wrapText="1"/>
    </xf>
    <xf numFmtId="0" fontId="141" fillId="0" borderId="0" xfId="0" applyFont="1"/>
    <xf numFmtId="41" fontId="139" fillId="0" borderId="0" xfId="0" applyNumberFormat="1" applyFont="1"/>
    <xf numFmtId="41" fontId="142" fillId="0" borderId="0" xfId="0" applyNumberFormat="1" applyFont="1" applyAlignment="1"/>
    <xf numFmtId="0" fontId="143" fillId="0" borderId="0" xfId="0" applyFont="1" applyAlignment="1">
      <alignment horizontal="center"/>
    </xf>
    <xf numFmtId="0" fontId="144" fillId="0" borderId="0" xfId="0" applyFont="1" applyFill="1" applyAlignment="1">
      <alignment horizontal="center"/>
    </xf>
    <xf numFmtId="0" fontId="145" fillId="0" borderId="0" xfId="0" applyFont="1" applyAlignment="1">
      <alignment horizontal="center"/>
    </xf>
    <xf numFmtId="0" fontId="142" fillId="0" borderId="0" xfId="0" applyFont="1" applyFill="1"/>
    <xf numFmtId="41" fontId="139" fillId="0" borderId="0" xfId="0" applyNumberFormat="1" applyFont="1" applyAlignment="1"/>
    <xf numFmtId="173" fontId="139" fillId="0" borderId="0" xfId="0" applyNumberFormat="1" applyFont="1"/>
    <xf numFmtId="0" fontId="139" fillId="0" borderId="0" xfId="0" applyFont="1" applyAlignment="1">
      <alignment wrapText="1"/>
    </xf>
    <xf numFmtId="0" fontId="139" fillId="0" borderId="0" xfId="0" applyFont="1" applyAlignment="1"/>
    <xf numFmtId="0" fontId="139" fillId="0" borderId="11" xfId="0" applyFont="1" applyBorder="1"/>
    <xf numFmtId="0" fontId="142" fillId="0" borderId="11" xfId="0" applyFont="1" applyFill="1" applyBorder="1"/>
    <xf numFmtId="0" fontId="142" fillId="0" borderId="11" xfId="0" applyFont="1" applyBorder="1" applyAlignment="1"/>
    <xf numFmtId="0" fontId="139" fillId="0" borderId="11" xfId="0" applyFont="1" applyBorder="1" applyAlignment="1"/>
    <xf numFmtId="41" fontId="142" fillId="0" borderId="0" xfId="0" applyNumberFormat="1" applyFont="1" applyFill="1"/>
    <xf numFmtId="0" fontId="142" fillId="0" borderId="0" xfId="0" applyFont="1" applyAlignment="1">
      <alignment horizontal="center"/>
    </xf>
    <xf numFmtId="189" fontId="142" fillId="0" borderId="0" xfId="115" applyNumberFormat="1" applyFont="1" applyAlignment="1">
      <alignment horizontal="center"/>
    </xf>
    <xf numFmtId="0" fontId="139" fillId="0" borderId="0" xfId="0" applyFont="1" applyBorder="1"/>
    <xf numFmtId="173" fontId="139" fillId="0" borderId="14" xfId="0" applyNumberFormat="1" applyFont="1" applyBorder="1"/>
    <xf numFmtId="173" fontId="142" fillId="0" borderId="14" xfId="0" applyNumberFormat="1" applyFont="1" applyFill="1" applyBorder="1"/>
    <xf numFmtId="41" fontId="139" fillId="0" borderId="14" xfId="0" applyNumberFormat="1" applyFont="1" applyBorder="1" applyAlignment="1"/>
    <xf numFmtId="43" fontId="142" fillId="0" borderId="0" xfId="0" applyNumberFormat="1" applyFont="1" applyAlignment="1"/>
    <xf numFmtId="0" fontId="142" fillId="0" borderId="0" xfId="0" applyFont="1" applyAlignment="1">
      <alignment wrapText="1"/>
    </xf>
    <xf numFmtId="0" fontId="147" fillId="0" borderId="0" xfId="0" applyFont="1" applyAlignment="1">
      <alignment horizontal="center" wrapText="1"/>
    </xf>
    <xf numFmtId="173" fontId="139" fillId="0" borderId="0" xfId="0" applyNumberFormat="1" applyFont="1" applyAlignment="1">
      <alignment wrapText="1"/>
    </xf>
    <xf numFmtId="0" fontId="141" fillId="0" borderId="0" xfId="0" applyFont="1" applyAlignment="1">
      <alignment horizontal="center" wrapText="1"/>
    </xf>
    <xf numFmtId="43" fontId="141" fillId="0" borderId="0" xfId="115" applyFont="1" applyAlignment="1">
      <alignment horizontal="center" wrapText="1"/>
    </xf>
    <xf numFmtId="173" fontId="139" fillId="0" borderId="0" xfId="0" applyNumberFormat="1" applyFont="1" applyBorder="1"/>
    <xf numFmtId="173" fontId="139" fillId="0" borderId="0" xfId="115" applyNumberFormat="1" applyFont="1"/>
    <xf numFmtId="173" fontId="139" fillId="29" borderId="0" xfId="115" applyNumberFormat="1" applyFont="1" applyFill="1" applyProtection="1">
      <protection locked="0"/>
    </xf>
    <xf numFmtId="173" fontId="141" fillId="0" borderId="0" xfId="115" applyNumberFormat="1" applyFont="1" applyAlignment="1">
      <alignment horizontal="center" wrapText="1"/>
    </xf>
    <xf numFmtId="173" fontId="141" fillId="0" borderId="0" xfId="115" applyNumberFormat="1" applyFont="1"/>
    <xf numFmtId="173" fontId="141" fillId="0" borderId="0" xfId="115" applyNumberFormat="1" applyFont="1" applyAlignment="1">
      <alignment horizontal="center"/>
    </xf>
    <xf numFmtId="173" fontId="139" fillId="29" borderId="0" xfId="0" applyNumberFormat="1" applyFont="1" applyFill="1" applyProtection="1">
      <protection locked="0"/>
    </xf>
    <xf numFmtId="10" fontId="139" fillId="0" borderId="0" xfId="305" applyNumberFormat="1" applyFont="1"/>
    <xf numFmtId="173" fontId="139" fillId="29" borderId="11" xfId="0" applyNumberFormat="1" applyFont="1" applyFill="1" applyBorder="1" applyProtection="1">
      <protection locked="0"/>
    </xf>
    <xf numFmtId="173" fontId="139" fillId="0" borderId="11" xfId="0" applyNumberFormat="1" applyFont="1" applyBorder="1"/>
    <xf numFmtId="173" fontId="139" fillId="0" borderId="11" xfId="115" applyNumberFormat="1" applyFont="1" applyBorder="1"/>
    <xf numFmtId="0" fontId="6" fillId="0" borderId="0" xfId="272" applyNumberFormat="1" applyFont="1" applyFill="1" applyAlignment="1" applyProtection="1">
      <alignment horizontal="left" indent="4"/>
    </xf>
    <xf numFmtId="41" fontId="20" fillId="0" borderId="0" xfId="272" applyNumberFormat="1" applyFont="1" applyFill="1" applyAlignment="1" applyProtection="1">
      <protection locked="0"/>
    </xf>
    <xf numFmtId="0" fontId="13" fillId="29" borderId="0" xfId="222" applyFont="1" applyFill="1" applyBorder="1" applyProtection="1">
      <protection locked="0"/>
    </xf>
    <xf numFmtId="0" fontId="64" fillId="29" borderId="0" xfId="0" applyNumberFormat="1" applyFont="1" applyFill="1" applyAlignment="1" applyProtection="1">
      <alignment horizontal="left"/>
      <protection locked="0"/>
    </xf>
    <xf numFmtId="0" fontId="20" fillId="29" borderId="0" xfId="265" applyFont="1" applyFill="1" applyAlignment="1" applyProtection="1">
      <alignment horizontal="center"/>
      <protection locked="0"/>
    </xf>
    <xf numFmtId="41" fontId="20" fillId="29" borderId="0" xfId="265" applyNumberFormat="1" applyFont="1" applyFill="1" applyBorder="1" applyProtection="1">
      <protection locked="0"/>
    </xf>
    <xf numFmtId="175" fontId="119" fillId="26" borderId="0" xfId="283" applyNumberFormat="1" applyFont="1" applyFill="1" applyProtection="1">
      <protection locked="0"/>
    </xf>
    <xf numFmtId="173" fontId="13" fillId="0" borderId="0" xfId="89" applyNumberFormat="1" applyFont="1" applyProtection="1"/>
    <xf numFmtId="173" fontId="13" fillId="0" borderId="0" xfId="89" applyNumberFormat="1" applyFont="1" applyBorder="1" applyProtection="1"/>
    <xf numFmtId="0" fontId="20" fillId="29" borderId="0" xfId="89" applyNumberFormat="1" applyFont="1" applyFill="1" applyAlignment="1" applyProtection="1">
      <alignment horizontal="left"/>
      <protection locked="0"/>
    </xf>
    <xf numFmtId="173" fontId="10" fillId="0" borderId="25" xfId="89" applyNumberFormat="1" applyFont="1" applyBorder="1" applyProtection="1"/>
    <xf numFmtId="0" fontId="6" fillId="0" borderId="0" xfId="89" applyNumberFormat="1" applyFont="1" applyFill="1" applyAlignment="1" applyProtection="1">
      <alignment horizontal="left"/>
    </xf>
    <xf numFmtId="0" fontId="6" fillId="0" borderId="0" xfId="89" applyNumberFormat="1" applyFont="1" applyFill="1" applyBorder="1" applyAlignment="1" applyProtection="1">
      <alignment horizontal="left"/>
    </xf>
    <xf numFmtId="0" fontId="7" fillId="0" borderId="0" xfId="89" applyNumberFormat="1" applyFont="1" applyFill="1" applyBorder="1" applyAlignment="1" applyProtection="1">
      <alignment horizontal="left"/>
    </xf>
    <xf numFmtId="173" fontId="10" fillId="0" borderId="29" xfId="89" applyNumberFormat="1" applyFont="1" applyBorder="1" applyProtection="1"/>
    <xf numFmtId="173" fontId="10" fillId="0" borderId="19" xfId="89" applyNumberFormat="1" applyFont="1" applyBorder="1" applyProtection="1"/>
    <xf numFmtId="173" fontId="13" fillId="0" borderId="6" xfId="89" applyNumberFormat="1" applyFont="1" applyBorder="1" applyProtection="1"/>
    <xf numFmtId="173" fontId="13" fillId="0" borderId="20" xfId="89" applyNumberFormat="1" applyFont="1" applyBorder="1" applyProtection="1"/>
    <xf numFmtId="173" fontId="151" fillId="29" borderId="18" xfId="89" applyNumberFormat="1" applyFont="1" applyFill="1" applyBorder="1" applyAlignment="1" applyProtection="1">
      <alignment horizontal="right"/>
      <protection locked="0"/>
    </xf>
    <xf numFmtId="173" fontId="9" fillId="29" borderId="18" xfId="89" applyNumberFormat="1" applyFont="1" applyFill="1" applyBorder="1" applyAlignment="1" applyProtection="1">
      <alignment horizontal="right"/>
      <protection locked="0"/>
    </xf>
    <xf numFmtId="173" fontId="10" fillId="0" borderId="0" xfId="89" applyNumberFormat="1" applyFont="1" applyBorder="1" applyAlignment="1" applyProtection="1">
      <alignment horizontal="center" wrapText="1"/>
    </xf>
    <xf numFmtId="173" fontId="10" fillId="0" borderId="26" xfId="89" applyNumberFormat="1" applyFont="1" applyBorder="1" applyAlignment="1" applyProtection="1">
      <alignment horizontal="center" wrapText="1"/>
    </xf>
    <xf numFmtId="173" fontId="10" fillId="0" borderId="25" xfId="89" applyNumberFormat="1" applyFont="1" applyBorder="1" applyAlignment="1" applyProtection="1">
      <alignment horizontal="center" wrapText="1"/>
    </xf>
    <xf numFmtId="173" fontId="10" fillId="28" borderId="26" xfId="89" applyNumberFormat="1" applyFont="1" applyFill="1" applyBorder="1" applyAlignment="1" applyProtection="1">
      <alignment horizontal="center" wrapText="1"/>
    </xf>
    <xf numFmtId="173" fontId="10" fillId="0" borderId="28" xfId="89" applyNumberFormat="1" applyFont="1" applyBorder="1" applyAlignment="1" applyProtection="1">
      <alignment horizontal="center"/>
    </xf>
    <xf numFmtId="173" fontId="10" fillId="0" borderId="20" xfId="89" applyNumberFormat="1" applyFont="1" applyBorder="1" applyAlignment="1" applyProtection="1">
      <alignment horizontal="center"/>
    </xf>
    <xf numFmtId="173" fontId="10" fillId="28" borderId="28" xfId="89" applyNumberFormat="1" applyFont="1" applyFill="1" applyBorder="1" applyAlignment="1" applyProtection="1">
      <alignment horizontal="center"/>
    </xf>
    <xf numFmtId="173" fontId="13" fillId="0" borderId="27" xfId="89" applyNumberFormat="1" applyFont="1" applyBorder="1" applyProtection="1"/>
    <xf numFmtId="173" fontId="13" fillId="0" borderId="27" xfId="98" applyNumberFormat="1" applyFont="1" applyFill="1" applyBorder="1" applyProtection="1"/>
    <xf numFmtId="173" fontId="13" fillId="0" borderId="18" xfId="98" applyNumberFormat="1" applyFont="1" applyFill="1" applyBorder="1" applyProtection="1"/>
    <xf numFmtId="173" fontId="13" fillId="0" borderId="18" xfId="89" applyNumberFormat="1" applyFont="1" applyBorder="1" applyProtection="1"/>
    <xf numFmtId="0" fontId="13" fillId="30" borderId="27" xfId="0" applyNumberFormat="1" applyFont="1" applyFill="1" applyBorder="1" applyAlignment="1" applyProtection="1">
      <alignment horizontal="center"/>
    </xf>
    <xf numFmtId="173" fontId="13" fillId="26" borderId="0" xfId="0" applyNumberFormat="1" applyFont="1" applyFill="1" applyBorder="1" applyProtection="1"/>
    <xf numFmtId="173" fontId="13" fillId="26" borderId="27" xfId="0" applyNumberFormat="1" applyFont="1" applyFill="1" applyBorder="1" applyProtection="1"/>
    <xf numFmtId="173" fontId="13" fillId="26" borderId="27" xfId="89" applyNumberFormat="1" applyFont="1" applyFill="1" applyBorder="1" applyProtection="1"/>
    <xf numFmtId="173" fontId="13" fillId="26" borderId="18" xfId="89" applyNumberFormat="1" applyFont="1" applyFill="1" applyBorder="1" applyProtection="1"/>
    <xf numFmtId="173" fontId="13" fillId="0" borderId="27" xfId="89" applyNumberFormat="1" applyFont="1" applyFill="1" applyBorder="1" applyProtection="1"/>
    <xf numFmtId="173" fontId="13" fillId="0" borderId="28" xfId="89" applyNumberFormat="1" applyFont="1" applyBorder="1" applyProtection="1"/>
    <xf numFmtId="173" fontId="13" fillId="0" borderId="0" xfId="89" applyNumberFormat="1" applyProtection="1"/>
    <xf numFmtId="174" fontId="151" fillId="29" borderId="27" xfId="0" applyNumberFormat="1" applyFont="1" applyFill="1" applyBorder="1" applyProtection="1">
      <protection locked="0"/>
    </xf>
    <xf numFmtId="174" fontId="153" fillId="28" borderId="27" xfId="0" applyNumberFormat="1" applyFont="1" applyFill="1" applyBorder="1" applyProtection="1"/>
    <xf numFmtId="174" fontId="13" fillId="26" borderId="27" xfId="0" applyNumberFormat="1" applyFont="1" applyFill="1" applyBorder="1" applyProtection="1"/>
    <xf numFmtId="173" fontId="13" fillId="0" borderId="26" xfId="89" applyNumberFormat="1" applyFont="1" applyBorder="1" applyProtection="1"/>
    <xf numFmtId="173" fontId="10" fillId="0" borderId="27" xfId="89" applyNumberFormat="1" applyFont="1" applyBorder="1" applyAlignment="1" applyProtection="1">
      <alignment horizontal="center"/>
    </xf>
    <xf numFmtId="174" fontId="13" fillId="0" borderId="17" xfId="0" applyNumberFormat="1" applyFont="1" applyBorder="1" applyProtection="1"/>
    <xf numFmtId="174" fontId="9" fillId="29" borderId="0" xfId="0" applyNumberFormat="1" applyFont="1" applyFill="1" applyBorder="1" applyProtection="1">
      <protection locked="0"/>
    </xf>
    <xf numFmtId="174" fontId="13" fillId="28" borderId="15" xfId="0" applyNumberFormat="1" applyFont="1" applyFill="1" applyBorder="1" applyProtection="1"/>
    <xf numFmtId="174" fontId="13" fillId="28" borderId="25" xfId="0" applyNumberFormat="1" applyFont="1" applyFill="1" applyBorder="1" applyProtection="1"/>
    <xf numFmtId="174" fontId="13" fillId="28" borderId="0" xfId="0" applyNumberFormat="1" applyFont="1" applyFill="1" applyBorder="1" applyProtection="1"/>
    <xf numFmtId="174" fontId="13" fillId="28" borderId="18" xfId="0" applyNumberFormat="1" applyFont="1" applyFill="1" applyBorder="1" applyProtection="1"/>
    <xf numFmtId="174" fontId="9" fillId="29" borderId="21" xfId="0" applyNumberFormat="1" applyFont="1" applyFill="1" applyBorder="1" applyProtection="1">
      <protection locked="0"/>
    </xf>
    <xf numFmtId="174" fontId="9" fillId="29" borderId="25" xfId="0" applyNumberFormat="1" applyFont="1" applyFill="1" applyBorder="1" applyProtection="1">
      <protection locked="0"/>
    </xf>
    <xf numFmtId="174" fontId="153" fillId="29" borderId="27" xfId="0" applyNumberFormat="1" applyFont="1" applyFill="1" applyBorder="1" applyProtection="1">
      <protection locked="0"/>
    </xf>
    <xf numFmtId="173" fontId="10" fillId="28" borderId="27" xfId="89" applyNumberFormat="1" applyFont="1" applyFill="1" applyBorder="1" applyAlignment="1" applyProtection="1">
      <alignment horizontal="center"/>
    </xf>
    <xf numFmtId="174" fontId="13" fillId="30" borderId="27" xfId="0" applyNumberFormat="1" applyFont="1" applyFill="1" applyBorder="1" applyProtection="1"/>
    <xf numFmtId="0" fontId="13" fillId="26" borderId="27" xfId="0" applyNumberFormat="1" applyFont="1" applyFill="1" applyBorder="1" applyAlignment="1" applyProtection="1">
      <alignment horizontal="center"/>
    </xf>
    <xf numFmtId="0" fontId="151" fillId="29" borderId="18" xfId="89" applyNumberFormat="1" applyFont="1" applyFill="1" applyBorder="1" applyAlignment="1" applyProtection="1">
      <alignment horizontal="right"/>
      <protection locked="0"/>
    </xf>
    <xf numFmtId="173" fontId="13" fillId="26" borderId="28" xfId="0" applyNumberFormat="1" applyFont="1" applyFill="1" applyBorder="1" applyProtection="1"/>
    <xf numFmtId="10" fontId="6" fillId="30" borderId="0" xfId="272" applyNumberFormat="1" applyFont="1" applyFill="1" applyAlignment="1" applyProtection="1"/>
    <xf numFmtId="41" fontId="20" fillId="29" borderId="0" xfId="272" applyNumberFormat="1" applyFont="1" applyFill="1" applyBorder="1" applyAlignment="1" applyProtection="1">
      <protection locked="0"/>
    </xf>
    <xf numFmtId="173" fontId="19" fillId="0" borderId="11" xfId="273" applyNumberFormat="1" applyFont="1" applyFill="1" applyBorder="1" applyAlignment="1">
      <alignment vertical="center"/>
    </xf>
    <xf numFmtId="174" fontId="9" fillId="27" borderId="10" xfId="0" applyNumberFormat="1" applyFont="1" applyFill="1" applyBorder="1" applyProtection="1"/>
    <xf numFmtId="9" fontId="6" fillId="0" borderId="0" xfId="0" applyNumberFormat="1" applyFont="1" applyFill="1" applyProtection="1"/>
    <xf numFmtId="164" fontId="139" fillId="26" borderId="0" xfId="283" applyNumberFormat="1" applyFont="1" applyFill="1" applyProtection="1">
      <protection locked="0"/>
    </xf>
    <xf numFmtId="3" fontId="64" fillId="29" borderId="0" xfId="0" quotePrefix="1" applyNumberFormat="1" applyFont="1" applyFill="1" applyProtection="1">
      <protection locked="0"/>
    </xf>
    <xf numFmtId="3" fontId="25" fillId="0" borderId="43" xfId="222" applyNumberFormat="1" applyFont="1" applyFill="1" applyBorder="1" applyAlignment="1">
      <alignment wrapText="1"/>
    </xf>
    <xf numFmtId="173" fontId="13" fillId="0" borderId="48" xfId="0" applyNumberFormat="1" applyFont="1" applyBorder="1" applyProtection="1"/>
    <xf numFmtId="173" fontId="9" fillId="29" borderId="0" xfId="86" applyNumberFormat="1" applyFont="1" applyFill="1" applyProtection="1">
      <protection locked="0"/>
    </xf>
    <xf numFmtId="195" fontId="159" fillId="29" borderId="0" xfId="263" applyNumberFormat="1" applyFont="1" applyFill="1"/>
    <xf numFmtId="0" fontId="78" fillId="29" borderId="0" xfId="273" applyNumberFormat="1" applyFont="1" applyFill="1" applyBorder="1" applyProtection="1">
      <protection locked="0"/>
    </xf>
    <xf numFmtId="41" fontId="9" fillId="0" borderId="0" xfId="263" applyNumberFormat="1" applyFont="1" applyFill="1" applyProtection="1">
      <protection locked="0"/>
    </xf>
    <xf numFmtId="198" fontId="7" fillId="0" borderId="0" xfId="272" applyNumberFormat="1" applyFont="1" applyAlignment="1" applyProtection="1"/>
    <xf numFmtId="0" fontId="6" fillId="0" borderId="0" xfId="273" applyNumberFormat="1" applyFont="1"/>
    <xf numFmtId="173" fontId="6" fillId="0" borderId="0" xfId="273" applyNumberFormat="1" applyFont="1" applyFill="1" applyBorder="1"/>
    <xf numFmtId="173" fontId="6" fillId="0" borderId="0" xfId="273" applyNumberFormat="1" applyFont="1" applyBorder="1"/>
    <xf numFmtId="0" fontId="7" fillId="0" borderId="0" xfId="273" applyFont="1"/>
    <xf numFmtId="0" fontId="6" fillId="0" borderId="0" xfId="273" applyFont="1" applyFill="1" applyBorder="1"/>
    <xf numFmtId="0" fontId="11" fillId="0" borderId="0" xfId="273" applyFont="1"/>
    <xf numFmtId="173" fontId="85" fillId="0" borderId="0" xfId="273" applyNumberFormat="1" applyFont="1" applyBorder="1"/>
    <xf numFmtId="173" fontId="85" fillId="0" borderId="0" xfId="273" applyNumberFormat="1" applyFont="1"/>
    <xf numFmtId="183" fontId="20" fillId="0" borderId="0" xfId="273" applyNumberFormat="1" applyFont="1"/>
    <xf numFmtId="0" fontId="6" fillId="0" borderId="0" xfId="273" applyFont="1" applyFill="1"/>
    <xf numFmtId="173" fontId="85" fillId="0" borderId="0" xfId="273" applyNumberFormat="1" applyFont="1" applyFill="1" applyBorder="1"/>
    <xf numFmtId="39" fontId="6" fillId="0" borderId="0" xfId="269" applyNumberFormat="1" applyFont="1" applyFill="1"/>
    <xf numFmtId="173" fontId="6" fillId="0" borderId="0" xfId="273" applyNumberFormat="1" applyFont="1" applyFill="1"/>
    <xf numFmtId="173" fontId="6" fillId="0" borderId="14" xfId="86" applyNumberFormat="1" applyFont="1" applyBorder="1"/>
    <xf numFmtId="0" fontId="15" fillId="0" borderId="0" xfId="273" applyFont="1" applyAlignment="1">
      <alignment horizontal="center"/>
    </xf>
    <xf numFmtId="0" fontId="160" fillId="0" borderId="0" xfId="273" applyFont="1" applyFill="1"/>
    <xf numFmtId="41" fontId="160" fillId="0" borderId="0" xfId="273" applyNumberFormat="1" applyFont="1" applyFill="1"/>
    <xf numFmtId="41" fontId="160" fillId="0" borderId="0" xfId="273" applyNumberFormat="1" applyFont="1" applyFill="1" applyBorder="1"/>
    <xf numFmtId="41" fontId="6" fillId="0" borderId="0" xfId="273" applyNumberFormat="1" applyFont="1" applyFill="1"/>
    <xf numFmtId="10" fontId="6" fillId="0" borderId="0" xfId="283" applyNumberFormat="1" applyFont="1" applyFill="1"/>
    <xf numFmtId="41" fontId="6" fillId="0" borderId="0" xfId="273" applyNumberFormat="1" applyFont="1" applyFill="1" applyBorder="1"/>
    <xf numFmtId="164" fontId="6" fillId="0" borderId="0" xfId="283" applyNumberFormat="1" applyFont="1" applyFill="1"/>
    <xf numFmtId="10" fontId="20" fillId="29" borderId="11" xfId="283" applyNumberFormat="1" applyFont="1" applyFill="1" applyBorder="1" applyProtection="1">
      <protection locked="0"/>
    </xf>
    <xf numFmtId="41" fontId="20" fillId="29" borderId="11" xfId="273" applyNumberFormat="1" applyFont="1" applyFill="1" applyBorder="1" applyProtection="1">
      <protection locked="0"/>
    </xf>
    <xf numFmtId="41" fontId="161" fillId="31" borderId="0" xfId="273" applyNumberFormat="1" applyFont="1" applyFill="1"/>
    <xf numFmtId="41" fontId="161" fillId="31" borderId="0" xfId="273" applyNumberFormat="1" applyFont="1" applyFill="1" applyBorder="1"/>
    <xf numFmtId="0" fontId="162" fillId="0" borderId="0" xfId="273" applyFont="1" applyFill="1"/>
    <xf numFmtId="10" fontId="6" fillId="0" borderId="11" xfId="283" applyNumberFormat="1" applyFont="1" applyFill="1" applyBorder="1"/>
    <xf numFmtId="173" fontId="6" fillId="0" borderId="0" xfId="89" applyNumberFormat="1" applyFont="1" applyFill="1"/>
    <xf numFmtId="10" fontId="6" fillId="0" borderId="0" xfId="283" applyNumberFormat="1" applyFont="1" applyFill="1" applyBorder="1"/>
    <xf numFmtId="9" fontId="6" fillId="0" borderId="0" xfId="283" applyFont="1" applyFill="1"/>
    <xf numFmtId="0" fontId="7" fillId="0" borderId="0" xfId="273" applyFont="1" applyFill="1"/>
    <xf numFmtId="41" fontId="6" fillId="26" borderId="0" xfId="273" applyNumberFormat="1" applyFont="1" applyFill="1"/>
    <xf numFmtId="0" fontId="6" fillId="26" borderId="0" xfId="273" applyFont="1" applyFill="1"/>
    <xf numFmtId="10" fontId="6" fillId="26" borderId="0" xfId="283" applyNumberFormat="1" applyFont="1" applyFill="1" applyBorder="1"/>
    <xf numFmtId="10" fontId="6" fillId="26" borderId="0" xfId="283" applyNumberFormat="1" applyFont="1" applyFill="1"/>
    <xf numFmtId="41" fontId="161" fillId="28" borderId="0" xfId="273" applyNumberFormat="1" applyFont="1" applyFill="1"/>
    <xf numFmtId="41" fontId="161" fillId="28" borderId="0" xfId="273" applyNumberFormat="1" applyFont="1" applyFill="1" applyBorder="1"/>
    <xf numFmtId="10" fontId="6" fillId="26" borderId="11" xfId="283" applyNumberFormat="1" applyFont="1" applyFill="1" applyBorder="1"/>
    <xf numFmtId="173" fontId="6" fillId="26" borderId="0" xfId="89" applyNumberFormat="1" applyFont="1" applyFill="1"/>
    <xf numFmtId="41" fontId="6" fillId="26" borderId="0" xfId="273" applyNumberFormat="1" applyFont="1" applyFill="1" applyBorder="1"/>
    <xf numFmtId="41" fontId="19" fillId="32" borderId="0" xfId="273" applyNumberFormat="1" applyFont="1" applyFill="1"/>
    <xf numFmtId="0" fontId="19" fillId="32" borderId="0" xfId="273" applyFont="1" applyFill="1"/>
    <xf numFmtId="173" fontId="19" fillId="0" borderId="0" xfId="89" applyNumberFormat="1" applyFont="1" applyFill="1" applyBorder="1"/>
    <xf numFmtId="41" fontId="19" fillId="0" borderId="0" xfId="273" applyNumberFormat="1" applyFont="1" applyFill="1"/>
    <xf numFmtId="173" fontId="146" fillId="33" borderId="0" xfId="116" applyNumberFormat="1" applyFont="1" applyFill="1" applyProtection="1">
      <protection locked="0"/>
    </xf>
    <xf numFmtId="41" fontId="142" fillId="0" borderId="0" xfId="356" applyNumberFormat="1" applyFont="1" applyFill="1" applyBorder="1"/>
    <xf numFmtId="0" fontId="20" fillId="29" borderId="0" xfId="263" quotePrefix="1" applyFont="1" applyFill="1" applyAlignment="1" applyProtection="1">
      <alignment horizontal="center"/>
      <protection locked="0"/>
    </xf>
    <xf numFmtId="0" fontId="77" fillId="0" borderId="30" xfId="274" applyFont="1" applyBorder="1" applyAlignment="1" applyProtection="1">
      <alignment horizontal="center"/>
    </xf>
    <xf numFmtId="0" fontId="111" fillId="0" borderId="16" xfId="0" applyFont="1" applyBorder="1"/>
    <xf numFmtId="0" fontId="107" fillId="0" borderId="16" xfId="0" applyFont="1" applyBorder="1" applyProtection="1">
      <protection locked="0"/>
    </xf>
    <xf numFmtId="10" fontId="0" fillId="0" borderId="16" xfId="0" applyNumberFormat="1" applyBorder="1" applyProtection="1"/>
    <xf numFmtId="191" fontId="0" fillId="0" borderId="16" xfId="0" applyNumberFormat="1" applyBorder="1" applyProtection="1"/>
    <xf numFmtId="175" fontId="0" fillId="0" borderId="16" xfId="0" applyNumberFormat="1" applyBorder="1" applyProtection="1"/>
    <xf numFmtId="175" fontId="0" fillId="0" borderId="16" xfId="0" applyNumberFormat="1" applyBorder="1" applyAlignment="1" applyProtection="1">
      <alignment horizontal="center"/>
    </xf>
    <xf numFmtId="0" fontId="111" fillId="0" borderId="30" xfId="0" applyFont="1" applyBorder="1"/>
    <xf numFmtId="0" fontId="107" fillId="0" borderId="30" xfId="0" applyFont="1" applyBorder="1" applyProtection="1">
      <protection locked="0"/>
    </xf>
    <xf numFmtId="10" fontId="0" fillId="0" borderId="30" xfId="0" applyNumberFormat="1" applyBorder="1" applyProtection="1"/>
    <xf numFmtId="191" fontId="0" fillId="0" borderId="30" xfId="0" applyNumberFormat="1" applyBorder="1" applyProtection="1"/>
    <xf numFmtId="175" fontId="0" fillId="0" borderId="30" xfId="0" applyNumberFormat="1" applyBorder="1" applyProtection="1"/>
    <xf numFmtId="0" fontId="25" fillId="0" borderId="0" xfId="357" applyFont="1"/>
    <xf numFmtId="0" fontId="25" fillId="0" borderId="0" xfId="357" applyFont="1" applyAlignment="1">
      <alignment horizontal="center"/>
    </xf>
    <xf numFmtId="0" fontId="25" fillId="0" borderId="0" xfId="175" applyFont="1"/>
    <xf numFmtId="0" fontId="25" fillId="0" borderId="0" xfId="357" applyFont="1" applyFill="1"/>
    <xf numFmtId="0" fontId="25" fillId="0" borderId="0" xfId="357" applyFont="1" applyBorder="1"/>
    <xf numFmtId="0" fontId="25" fillId="0" borderId="0" xfId="357" applyFont="1" applyAlignment="1">
      <alignment horizontal="left"/>
    </xf>
    <xf numFmtId="0" fontId="25" fillId="0" borderId="0" xfId="357" applyFont="1" applyAlignment="1">
      <alignment horizontal="left" vertical="center"/>
    </xf>
    <xf numFmtId="0" fontId="0" fillId="0" borderId="0" xfId="0" applyAlignment="1" applyProtection="1">
      <alignment wrapText="1"/>
    </xf>
    <xf numFmtId="0" fontId="13" fillId="0" borderId="0" xfId="0" applyFont="1" applyFill="1" applyBorder="1" applyAlignment="1" applyProtection="1">
      <alignment wrapText="1"/>
    </xf>
    <xf numFmtId="172" fontId="165" fillId="0" borderId="0" xfId="362"/>
    <xf numFmtId="0" fontId="25" fillId="0" borderId="0" xfId="366" applyFont="1"/>
    <xf numFmtId="0" fontId="25" fillId="0" borderId="0" xfId="366" applyFont="1" applyAlignment="1">
      <alignment horizontal="center"/>
    </xf>
    <xf numFmtId="14" fontId="25" fillId="0" borderId="0" xfId="366" applyNumberFormat="1" applyFont="1"/>
    <xf numFmtId="0" fontId="25" fillId="0" borderId="0" xfId="175" applyFont="1"/>
    <xf numFmtId="9" fontId="25" fillId="0" borderId="0" xfId="358" applyFont="1"/>
    <xf numFmtId="41" fontId="25" fillId="0" borderId="0" xfId="366" applyNumberFormat="1" applyFont="1"/>
    <xf numFmtId="172" fontId="25" fillId="0" borderId="0" xfId="362" applyFont="1" applyAlignment="1"/>
    <xf numFmtId="0" fontId="26" fillId="0" borderId="0" xfId="366" applyFont="1"/>
    <xf numFmtId="172" fontId="165" fillId="0" borderId="0" xfId="362" applyAlignment="1"/>
    <xf numFmtId="0" fontId="25" fillId="0" borderId="11" xfId="366" applyFont="1" applyBorder="1"/>
    <xf numFmtId="0" fontId="26" fillId="0" borderId="11" xfId="366" applyFont="1" applyBorder="1" applyAlignment="1">
      <alignment horizontal="center"/>
    </xf>
    <xf numFmtId="0" fontId="26" fillId="0" borderId="11" xfId="366" applyFont="1" applyBorder="1" applyAlignment="1">
      <alignment horizontal="center" wrapText="1"/>
    </xf>
    <xf numFmtId="0" fontId="26" fillId="0" borderId="51" xfId="366" applyFont="1" applyBorder="1" applyAlignment="1">
      <alignment horizontal="center" wrapText="1"/>
    </xf>
    <xf numFmtId="0" fontId="26" fillId="0" borderId="11" xfId="366" applyFont="1" applyFill="1" applyBorder="1" applyAlignment="1">
      <alignment horizontal="center" wrapText="1"/>
    </xf>
    <xf numFmtId="0" fontId="26" fillId="0" borderId="0" xfId="366" applyFont="1" applyAlignment="1">
      <alignment horizontal="center"/>
    </xf>
    <xf numFmtId="0" fontId="26" fillId="0" borderId="0" xfId="366" applyFont="1" applyFill="1" applyBorder="1" applyAlignment="1">
      <alignment horizontal="center" wrapText="1"/>
    </xf>
    <xf numFmtId="0" fontId="26" fillId="0" borderId="0" xfId="366" applyFont="1" applyBorder="1" applyAlignment="1">
      <alignment horizontal="center" wrapText="1"/>
    </xf>
    <xf numFmtId="0" fontId="26" fillId="0" borderId="0" xfId="366" applyFont="1" applyAlignment="1">
      <alignment horizontal="left"/>
    </xf>
    <xf numFmtId="0" fontId="25" fillId="35" borderId="0" xfId="366" applyFont="1" applyFill="1"/>
    <xf numFmtId="0" fontId="25" fillId="0" borderId="0" xfId="366" applyFont="1" applyFill="1" applyAlignment="1">
      <alignment horizontal="center"/>
    </xf>
    <xf numFmtId="0" fontId="25" fillId="0" borderId="0" xfId="366" applyFont="1" applyBorder="1"/>
    <xf numFmtId="0" fontId="25" fillId="0" borderId="0" xfId="366" applyFont="1" applyFill="1" applyBorder="1" applyAlignment="1">
      <alignment horizontal="center"/>
    </xf>
    <xf numFmtId="41" fontId="25" fillId="33" borderId="55" xfId="265" applyNumberFormat="1" applyFont="1" applyFill="1" applyBorder="1" applyProtection="1">
      <protection locked="0"/>
    </xf>
    <xf numFmtId="173" fontId="25" fillId="36" borderId="55" xfId="367" applyNumberFormat="1" applyFont="1" applyFill="1" applyBorder="1"/>
    <xf numFmtId="173" fontId="25" fillId="0" borderId="56" xfId="367" applyNumberFormat="1" applyFont="1" applyFill="1" applyBorder="1"/>
    <xf numFmtId="173" fontId="25" fillId="0" borderId="55" xfId="367" applyNumberFormat="1" applyFont="1" applyFill="1" applyBorder="1"/>
    <xf numFmtId="41" fontId="25" fillId="33" borderId="0" xfId="265" applyNumberFormat="1" applyFont="1" applyFill="1" applyBorder="1" applyProtection="1">
      <protection locked="0"/>
    </xf>
    <xf numFmtId="41" fontId="25" fillId="0" borderId="0" xfId="366" applyNumberFormat="1" applyFont="1" applyBorder="1" applyAlignment="1">
      <alignment horizontal="center"/>
    </xf>
    <xf numFmtId="0" fontId="26" fillId="0" borderId="0" xfId="366" applyFont="1" applyBorder="1"/>
    <xf numFmtId="173" fontId="25" fillId="36" borderId="56" xfId="367" applyNumberFormat="1" applyFont="1" applyFill="1" applyBorder="1"/>
    <xf numFmtId="173" fontId="25" fillId="0" borderId="0" xfId="361" applyNumberFormat="1" applyFont="1" applyBorder="1" applyAlignment="1">
      <alignment horizontal="center"/>
    </xf>
    <xf numFmtId="173" fontId="25" fillId="0" borderId="0" xfId="367" applyNumberFormat="1" applyFont="1" applyFill="1" applyBorder="1"/>
    <xf numFmtId="0" fontId="25" fillId="0" borderId="0" xfId="175" applyFont="1" applyFill="1"/>
    <xf numFmtId="0" fontId="25" fillId="0" borderId="0" xfId="175" applyFont="1" applyFill="1" applyBorder="1"/>
    <xf numFmtId="0" fontId="25" fillId="0" borderId="0" xfId="366" applyFont="1" applyAlignment="1">
      <alignment wrapText="1"/>
    </xf>
    <xf numFmtId="173" fontId="25" fillId="36" borderId="0" xfId="367" applyNumberFormat="1" applyFont="1" applyFill="1" applyBorder="1"/>
    <xf numFmtId="41" fontId="25" fillId="33" borderId="57" xfId="265" applyNumberFormat="1" applyFont="1" applyFill="1" applyBorder="1" applyProtection="1">
      <protection locked="0"/>
    </xf>
    <xf numFmtId="173" fontId="25" fillId="0" borderId="0" xfId="367" applyNumberFormat="1" applyFont="1" applyBorder="1" applyAlignment="1">
      <alignment wrapText="1"/>
    </xf>
    <xf numFmtId="1" fontId="25" fillId="0" borderId="58" xfId="361" applyNumberFormat="1" applyFont="1" applyBorder="1" applyAlignment="1"/>
    <xf numFmtId="173" fontId="25" fillId="0" borderId="0" xfId="367" applyNumberFormat="1" applyFont="1" applyAlignment="1">
      <alignment wrapText="1"/>
    </xf>
    <xf numFmtId="1" fontId="25" fillId="0" borderId="0" xfId="361" applyNumberFormat="1" applyFont="1" applyBorder="1" applyAlignment="1"/>
    <xf numFmtId="176" fontId="25" fillId="0" borderId="0" xfId="361" applyNumberFormat="1" applyFont="1" applyBorder="1" applyAlignment="1"/>
    <xf numFmtId="173" fontId="25" fillId="0" borderId="54" xfId="361" applyNumberFormat="1" applyFont="1" applyBorder="1" applyAlignment="1">
      <alignment horizontal="center"/>
    </xf>
    <xf numFmtId="173" fontId="25" fillId="0" borderId="0" xfId="361" applyNumberFormat="1" applyFont="1" applyBorder="1" applyAlignment="1"/>
    <xf numFmtId="0" fontId="25" fillId="0" borderId="0" xfId="366" applyFont="1" applyAlignment="1">
      <alignment horizontal="left" vertical="center"/>
    </xf>
    <xf numFmtId="0" fontId="25" fillId="0" borderId="0" xfId="366" applyFont="1" applyAlignment="1">
      <alignment vertical="top" wrapText="1"/>
    </xf>
    <xf numFmtId="0" fontId="25" fillId="0" borderId="0" xfId="366" applyFont="1" applyAlignment="1"/>
    <xf numFmtId="173" fontId="25" fillId="0" borderId="0" xfId="366" applyNumberFormat="1" applyFont="1"/>
    <xf numFmtId="0" fontId="25" fillId="0" borderId="0" xfId="366" applyFont="1" applyAlignment="1">
      <alignment vertical="top"/>
    </xf>
    <xf numFmtId="0" fontId="25" fillId="0" borderId="0" xfId="366" applyFont="1" applyFill="1" applyAlignment="1">
      <alignment horizontal="left"/>
    </xf>
    <xf numFmtId="0" fontId="25" fillId="0" borderId="0" xfId="366" applyFont="1" applyAlignment="1">
      <alignment horizontal="left"/>
    </xf>
    <xf numFmtId="0" fontId="25" fillId="0" borderId="0" xfId="366" applyFont="1" applyFill="1"/>
    <xf numFmtId="0" fontId="26" fillId="0" borderId="0" xfId="366" applyFont="1" applyAlignment="1">
      <alignment horizontal="left" vertical="center"/>
    </xf>
    <xf numFmtId="173" fontId="25" fillId="0" borderId="0" xfId="366" applyNumberFormat="1" applyFont="1" applyAlignment="1">
      <alignment horizontal="left" vertical="center"/>
    </xf>
    <xf numFmtId="49" fontId="25" fillId="0" borderId="0" xfId="366" applyNumberFormat="1" applyFont="1" applyFill="1" applyAlignment="1">
      <alignment horizontal="center"/>
    </xf>
    <xf numFmtId="49" fontId="25" fillId="0" borderId="0" xfId="366" applyNumberFormat="1" applyFont="1" applyAlignment="1">
      <alignment horizontal="center"/>
    </xf>
    <xf numFmtId="41" fontId="25" fillId="33" borderId="34" xfId="265" applyNumberFormat="1" applyFont="1" applyFill="1" applyBorder="1" applyAlignment="1" applyProtection="1">
      <alignment vertical="top"/>
      <protection locked="0"/>
    </xf>
    <xf numFmtId="172" fontId="165" fillId="0" borderId="0" xfId="362" applyFont="1"/>
    <xf numFmtId="0" fontId="25" fillId="0" borderId="0" xfId="366" applyFont="1" applyFill="1" applyAlignment="1">
      <alignment vertical="top" wrapText="1"/>
    </xf>
    <xf numFmtId="0" fontId="13" fillId="0" borderId="0" xfId="366" applyFont="1" applyAlignment="1">
      <alignment horizontal="right"/>
    </xf>
    <xf numFmtId="172" fontId="25" fillId="0" borderId="0" xfId="362" applyFont="1" applyBorder="1"/>
    <xf numFmtId="41" fontId="25" fillId="33" borderId="52" xfId="265" applyNumberFormat="1" applyFont="1" applyFill="1" applyBorder="1" applyProtection="1">
      <protection locked="0"/>
    </xf>
    <xf numFmtId="173" fontId="25" fillId="36" borderId="52" xfId="367" applyNumberFormat="1" applyFont="1" applyFill="1" applyBorder="1"/>
    <xf numFmtId="173" fontId="25" fillId="0" borderId="53" xfId="367" applyNumberFormat="1" applyFont="1" applyFill="1" applyBorder="1"/>
    <xf numFmtId="41" fontId="25" fillId="33" borderId="43" xfId="265" applyNumberFormat="1" applyFont="1" applyFill="1" applyBorder="1" applyProtection="1">
      <protection locked="0"/>
    </xf>
    <xf numFmtId="0" fontId="25" fillId="0" borderId="0" xfId="175" applyFont="1" applyBorder="1"/>
    <xf numFmtId="172" fontId="25" fillId="0" borderId="0" xfId="175" applyNumberFormat="1" applyFont="1" applyFill="1" applyBorder="1"/>
    <xf numFmtId="172" fontId="167" fillId="0" borderId="0" xfId="362" applyFont="1"/>
    <xf numFmtId="172" fontId="25" fillId="0" borderId="0" xfId="362" applyFont="1" applyFill="1" applyAlignment="1"/>
    <xf numFmtId="173" fontId="25" fillId="0" borderId="58" xfId="361" applyNumberFormat="1" applyFont="1" applyFill="1" applyBorder="1" applyAlignment="1"/>
    <xf numFmtId="41" fontId="25" fillId="0" borderId="0" xfId="366" applyNumberFormat="1" applyFont="1" applyFill="1" applyBorder="1" applyAlignment="1">
      <alignment horizontal="center"/>
    </xf>
    <xf numFmtId="0" fontId="13" fillId="0" borderId="27" xfId="0" applyNumberFormat="1" applyFont="1" applyFill="1" applyBorder="1" applyAlignment="1" applyProtection="1">
      <alignment horizontal="center"/>
    </xf>
    <xf numFmtId="0" fontId="13" fillId="34" borderId="27" xfId="0" applyNumberFormat="1" applyFont="1" applyFill="1" applyBorder="1" applyAlignment="1" applyProtection="1">
      <alignment horizontal="center"/>
    </xf>
    <xf numFmtId="173" fontId="13" fillId="0" borderId="0" xfId="0" applyNumberFormat="1" applyFont="1" applyFill="1" applyBorder="1" applyProtection="1"/>
    <xf numFmtId="164" fontId="139" fillId="26" borderId="11" xfId="283" applyNumberFormat="1" applyFont="1" applyFill="1" applyBorder="1" applyProtection="1">
      <protection locked="0"/>
    </xf>
    <xf numFmtId="41" fontId="9" fillId="37" borderId="0" xfId="263" applyNumberFormat="1" applyFont="1" applyFill="1" applyProtection="1">
      <protection locked="0"/>
    </xf>
    <xf numFmtId="175" fontId="119" fillId="33" borderId="0" xfId="283" applyNumberFormat="1" applyFont="1" applyFill="1" applyProtection="1">
      <protection locked="0"/>
    </xf>
    <xf numFmtId="173" fontId="13" fillId="0" borderId="0" xfId="273" applyNumberFormat="1" applyFont="1"/>
    <xf numFmtId="5" fontId="20" fillId="29" borderId="11" xfId="273" applyNumberFormat="1" applyFont="1" applyFill="1" applyBorder="1" applyProtection="1">
      <protection locked="0"/>
    </xf>
    <xf numFmtId="10" fontId="0" fillId="0" borderId="16" xfId="0" applyNumberFormat="1" applyBorder="1" applyAlignment="1" applyProtection="1">
      <alignment horizontal="center"/>
    </xf>
    <xf numFmtId="0" fontId="111" fillId="0" borderId="0" xfId="0" applyFont="1" applyBorder="1"/>
    <xf numFmtId="0" fontId="107" fillId="0" borderId="0" xfId="0" applyFont="1" applyBorder="1" applyProtection="1">
      <protection locked="0"/>
    </xf>
    <xf numFmtId="0" fontId="170" fillId="0" borderId="0" xfId="0" applyFont="1" applyBorder="1" applyAlignment="1">
      <alignment horizontal="center"/>
    </xf>
    <xf numFmtId="0" fontId="3" fillId="0" borderId="0" xfId="0" applyFont="1" applyFill="1" applyBorder="1" applyAlignment="1">
      <alignment horizontal="center"/>
    </xf>
    <xf numFmtId="0" fontId="10" fillId="0" borderId="0" xfId="266" applyFont="1" applyFill="1" applyAlignment="1" applyProtection="1">
      <alignment horizontal="center" wrapText="1"/>
    </xf>
    <xf numFmtId="172" fontId="27" fillId="0" borderId="0" xfId="272" applyFont="1" applyFill="1" applyAlignment="1" applyProtection="1">
      <alignment wrapText="1"/>
    </xf>
    <xf numFmtId="0" fontId="27" fillId="0" borderId="0" xfId="272" applyNumberFormat="1" applyFont="1" applyFill="1" applyAlignment="1" applyProtection="1">
      <alignment horizontal="left" wrapText="1"/>
    </xf>
    <xf numFmtId="3" fontId="149" fillId="0" borderId="0" xfId="272" applyNumberFormat="1" applyFont="1" applyFill="1" applyAlignment="1" applyProtection="1">
      <alignment horizontal="center"/>
    </xf>
    <xf numFmtId="3" fontId="6" fillId="0" borderId="0" xfId="272" applyNumberFormat="1" applyFont="1" applyAlignment="1" applyProtection="1">
      <alignment horizontal="left" wrapText="1"/>
    </xf>
    <xf numFmtId="0" fontId="13" fillId="0" borderId="0" xfId="0" applyFont="1" applyAlignment="1" applyProtection="1">
      <alignment horizontal="left" wrapText="1"/>
    </xf>
    <xf numFmtId="172" fontId="77" fillId="0" borderId="0" xfId="272" applyFont="1" applyAlignment="1" applyProtection="1">
      <alignment horizontal="left" wrapText="1"/>
    </xf>
    <xf numFmtId="49" fontId="6" fillId="0" borderId="0" xfId="272" applyNumberFormat="1" applyFont="1" applyAlignment="1" applyProtection="1">
      <alignment horizontal="center"/>
    </xf>
    <xf numFmtId="0" fontId="33" fillId="0" borderId="0" xfId="0" applyFont="1" applyAlignment="1" applyProtection="1">
      <alignment horizontal="center"/>
    </xf>
    <xf numFmtId="0" fontId="11" fillId="0" borderId="0" xfId="272" applyNumberFormat="1" applyFont="1" applyAlignment="1" applyProtection="1">
      <alignment horizontal="center"/>
    </xf>
    <xf numFmtId="0" fontId="14" fillId="0" borderId="0" xfId="0" applyFont="1" applyAlignment="1" applyProtection="1"/>
    <xf numFmtId="0" fontId="0" fillId="0" borderId="0" xfId="0" applyAlignment="1" applyProtection="1">
      <alignment horizontal="center"/>
    </xf>
    <xf numFmtId="172" fontId="7" fillId="0" borderId="11" xfId="272" applyFont="1" applyBorder="1" applyAlignment="1" applyProtection="1">
      <alignment horizontal="center"/>
    </xf>
    <xf numFmtId="0" fontId="6" fillId="0" borderId="0" xfId="0" applyFont="1" applyFill="1" applyAlignment="1" applyProtection="1">
      <alignment horizontal="left" vertical="top" wrapText="1"/>
    </xf>
    <xf numFmtId="0" fontId="6" fillId="0" borderId="0" xfId="272" applyNumberFormat="1" applyFont="1" applyFill="1" applyAlignment="1" applyProtection="1">
      <alignment horizontal="left" wrapText="1"/>
    </xf>
    <xf numFmtId="0" fontId="6" fillId="0" borderId="0" xfId="0" applyFont="1" applyAlignment="1" applyProtection="1">
      <alignment wrapText="1"/>
    </xf>
    <xf numFmtId="0" fontId="6" fillId="0" borderId="0" xfId="272" applyNumberFormat="1" applyFont="1" applyFill="1" applyAlignment="1" applyProtection="1">
      <alignment horizontal="left" vertical="top" wrapText="1"/>
    </xf>
    <xf numFmtId="172" fontId="6" fillId="0" borderId="0" xfId="272" applyFont="1" applyFill="1" applyAlignment="1" applyProtection="1">
      <alignment vertical="top" wrapText="1"/>
    </xf>
    <xf numFmtId="172" fontId="134" fillId="0" borderId="0" xfId="272" applyFont="1" applyFill="1" applyAlignment="1" applyProtection="1">
      <alignment vertical="top" wrapText="1"/>
    </xf>
    <xf numFmtId="172" fontId="115" fillId="0" borderId="0" xfId="272" applyFont="1" applyFill="1" applyAlignment="1" applyProtection="1">
      <alignment wrapText="1"/>
    </xf>
    <xf numFmtId="172" fontId="27" fillId="0" borderId="0" xfId="272" applyFont="1" applyFill="1" applyAlignment="1" applyProtection="1">
      <alignment vertical="top" wrapText="1"/>
    </xf>
    <xf numFmtId="172" fontId="6" fillId="0" borderId="0" xfId="272" applyFont="1" applyAlignment="1" applyProtection="1">
      <alignment horizontal="left" wrapText="1"/>
    </xf>
    <xf numFmtId="172" fontId="6" fillId="0" borderId="0" xfId="272" applyFont="1" applyAlignment="1" applyProtection="1">
      <alignment horizontal="left"/>
    </xf>
    <xf numFmtId="172" fontId="6" fillId="0" borderId="0" xfId="272" applyFont="1" applyFill="1" applyAlignment="1" applyProtection="1">
      <alignment horizontal="left" wrapText="1"/>
    </xf>
    <xf numFmtId="0" fontId="6" fillId="0" borderId="0" xfId="0" applyFont="1" applyAlignment="1">
      <alignment horizontal="center"/>
    </xf>
    <xf numFmtId="0" fontId="6" fillId="0" borderId="0" xfId="222" applyFont="1" applyBorder="1" applyAlignment="1">
      <alignment horizontal="center"/>
    </xf>
    <xf numFmtId="0" fontId="10" fillId="0" borderId="49" xfId="275" applyFont="1" applyBorder="1" applyAlignment="1">
      <alignment horizontal="center" wrapText="1"/>
    </xf>
    <xf numFmtId="0" fontId="10" fillId="0" borderId="13" xfId="275" applyFont="1" applyBorder="1" applyAlignment="1">
      <alignment horizontal="center" wrapText="1"/>
    </xf>
    <xf numFmtId="0" fontId="10" fillId="0" borderId="50" xfId="275" applyFont="1" applyBorder="1" applyAlignment="1">
      <alignment horizontal="center" wrapText="1"/>
    </xf>
    <xf numFmtId="0" fontId="10" fillId="0" borderId="49" xfId="200" applyFont="1" applyBorder="1" applyAlignment="1">
      <alignment horizontal="center"/>
    </xf>
    <xf numFmtId="0" fontId="10" fillId="0" borderId="13" xfId="200" applyFont="1" applyBorder="1" applyAlignment="1">
      <alignment horizontal="center"/>
    </xf>
    <xf numFmtId="0" fontId="10" fillId="0" borderId="50" xfId="200" applyFont="1" applyBorder="1" applyAlignment="1">
      <alignment horizontal="center"/>
    </xf>
    <xf numFmtId="3" fontId="6" fillId="0" borderId="0" xfId="222" applyNumberFormat="1" applyFont="1" applyBorder="1" applyAlignment="1">
      <alignment horizontal="center"/>
    </xf>
    <xf numFmtId="0" fontId="13" fillId="0" borderId="0" xfId="222" applyFont="1" applyFill="1" applyBorder="1" applyAlignment="1">
      <alignment horizontal="left" wrapText="1"/>
    </xf>
    <xf numFmtId="0" fontId="18" fillId="0" borderId="0" xfId="263" applyFont="1" applyAlignment="1">
      <alignment horizontal="center" wrapText="1"/>
    </xf>
    <xf numFmtId="0" fontId="14" fillId="0" borderId="0" xfId="0" applyFont="1" applyAlignment="1">
      <alignment horizontal="center" wrapText="1"/>
    </xf>
    <xf numFmtId="3" fontId="6" fillId="0" borderId="0" xfId="0" applyNumberFormat="1" applyFont="1" applyAlignment="1">
      <alignment horizontal="center"/>
    </xf>
    <xf numFmtId="0" fontId="18" fillId="0" borderId="0" xfId="222" quotePrefix="1" applyFont="1" applyBorder="1" applyAlignment="1">
      <alignment horizontal="center" wrapText="1"/>
    </xf>
    <xf numFmtId="0" fontId="25" fillId="0" borderId="11" xfId="366" applyFont="1" applyBorder="1" applyAlignment="1">
      <alignment horizontal="center"/>
    </xf>
    <xf numFmtId="172" fontId="25" fillId="0" borderId="11" xfId="362" applyFont="1" applyBorder="1" applyAlignment="1">
      <alignment horizontal="center"/>
    </xf>
    <xf numFmtId="0" fontId="25" fillId="0" borderId="11" xfId="366" applyFont="1" applyBorder="1" applyAlignment="1">
      <alignment horizontal="center" wrapText="1"/>
    </xf>
    <xf numFmtId="0" fontId="26" fillId="0" borderId="0" xfId="366" applyFont="1" applyBorder="1" applyAlignment="1">
      <alignment horizontal="center" wrapText="1"/>
    </xf>
    <xf numFmtId="0" fontId="25" fillId="0" borderId="0" xfId="366" applyFont="1" applyFill="1" applyAlignment="1">
      <alignment horizontal="left" vertical="top" wrapText="1"/>
    </xf>
    <xf numFmtId="0" fontId="25" fillId="0" borderId="0" xfId="366" applyFont="1" applyFill="1" applyAlignment="1">
      <alignment horizontal="left" wrapText="1"/>
    </xf>
    <xf numFmtId="0" fontId="25" fillId="0" borderId="0" xfId="366" applyFont="1" applyAlignment="1">
      <alignment horizontal="left" vertical="top" wrapText="1"/>
    </xf>
    <xf numFmtId="41" fontId="25" fillId="33" borderId="34" xfId="265" applyNumberFormat="1" applyFont="1" applyFill="1" applyBorder="1" applyAlignment="1" applyProtection="1">
      <alignment vertical="center"/>
      <protection locked="0"/>
    </xf>
    <xf numFmtId="0" fontId="25" fillId="0" borderId="0" xfId="366" applyFont="1" applyAlignment="1">
      <alignment horizontal="center" wrapText="1"/>
    </xf>
    <xf numFmtId="41" fontId="25" fillId="33" borderId="34" xfId="265" applyNumberFormat="1" applyFont="1" applyFill="1" applyBorder="1" applyAlignment="1" applyProtection="1">
      <alignment horizontal="left" vertical="center" wrapText="1"/>
      <protection locked="0"/>
    </xf>
    <xf numFmtId="0" fontId="25" fillId="0" borderId="0" xfId="366" applyFont="1" applyAlignment="1">
      <alignment horizontal="left" wrapText="1"/>
    </xf>
    <xf numFmtId="0" fontId="13" fillId="0" borderId="0" xfId="222" applyNumberFormat="1" applyFont="1" applyFill="1" applyBorder="1" applyAlignment="1">
      <alignment horizontal="left" wrapText="1"/>
    </xf>
    <xf numFmtId="0" fontId="80" fillId="0" borderId="0" xfId="263" applyFont="1" applyFill="1" applyAlignment="1">
      <alignment horizontal="center"/>
    </xf>
    <xf numFmtId="0" fontId="80" fillId="0" borderId="0" xfId="222" applyNumberFormat="1" applyFont="1" applyFill="1" applyBorder="1" applyAlignment="1">
      <alignment horizontal="center"/>
    </xf>
    <xf numFmtId="0" fontId="18" fillId="0" borderId="0" xfId="263" applyFont="1" applyBorder="1" applyAlignment="1">
      <alignment horizontal="center" wrapText="1"/>
    </xf>
    <xf numFmtId="0" fontId="14" fillId="0" borderId="0" xfId="0" applyFont="1" applyBorder="1" applyAlignment="1">
      <alignment horizontal="center" wrapText="1"/>
    </xf>
    <xf numFmtId="0" fontId="80" fillId="0" borderId="0" xfId="0" applyFont="1" applyFill="1" applyAlignment="1">
      <alignment horizontal="center"/>
    </xf>
    <xf numFmtId="0" fontId="13" fillId="0" borderId="0" xfId="0" applyFont="1" applyAlignment="1" applyProtection="1">
      <alignment wrapText="1"/>
    </xf>
    <xf numFmtId="0" fontId="6" fillId="0" borderId="0" xfId="0" applyFont="1" applyAlignment="1" applyProtection="1">
      <alignment horizontal="center"/>
    </xf>
    <xf numFmtId="0" fontId="6" fillId="0" borderId="0" xfId="222" applyFont="1" applyBorder="1" applyAlignment="1" applyProtection="1">
      <alignment horizontal="center"/>
    </xf>
    <xf numFmtId="3" fontId="6" fillId="0" borderId="0" xfId="0" applyNumberFormat="1" applyFont="1" applyAlignment="1" applyProtection="1">
      <alignment horizontal="center"/>
    </xf>
    <xf numFmtId="172" fontId="13" fillId="0" borderId="0" xfId="272" applyFont="1" applyFill="1" applyAlignment="1" applyProtection="1">
      <alignment horizontal="left" vertical="top" wrapText="1"/>
    </xf>
    <xf numFmtId="0" fontId="10" fillId="0" borderId="0" xfId="276" applyFont="1" applyFill="1" applyAlignment="1" applyProtection="1">
      <alignment wrapText="1"/>
    </xf>
    <xf numFmtId="3" fontId="5" fillId="0" borderId="0" xfId="0" applyNumberFormat="1" applyFont="1" applyAlignment="1" applyProtection="1">
      <alignment horizontal="center"/>
    </xf>
    <xf numFmtId="0" fontId="11" fillId="0" borderId="0" xfId="276" applyFont="1" applyFill="1" applyAlignment="1" applyProtection="1">
      <alignment horizontal="center"/>
    </xf>
    <xf numFmtId="3" fontId="5" fillId="0" borderId="0" xfId="0" applyNumberFormat="1" applyFont="1" applyAlignment="1">
      <alignment horizontal="center"/>
    </xf>
    <xf numFmtId="0" fontId="13" fillId="0" borderId="0" xfId="0" applyFont="1" applyAlignment="1">
      <alignment vertical="top" wrapText="1"/>
    </xf>
    <xf numFmtId="0" fontId="7" fillId="0" borderId="11" xfId="273" applyFont="1" applyBorder="1" applyAlignment="1">
      <alignment horizontal="center"/>
    </xf>
    <xf numFmtId="0" fontId="72" fillId="0" borderId="0" xfId="273" applyFont="1" applyFill="1" applyAlignment="1">
      <alignment horizontal="left" wrapText="1"/>
    </xf>
    <xf numFmtId="0" fontId="72" fillId="0" borderId="0" xfId="273" applyFont="1" applyFill="1" applyAlignment="1">
      <alignment wrapText="1"/>
    </xf>
    <xf numFmtId="0" fontId="5" fillId="0" borderId="0" xfId="222" applyFont="1" applyBorder="1" applyAlignment="1">
      <alignment horizontal="center"/>
    </xf>
    <xf numFmtId="0" fontId="5" fillId="0" borderId="0" xfId="0" applyFont="1" applyAlignment="1">
      <alignment horizontal="center"/>
    </xf>
    <xf numFmtId="172" fontId="3" fillId="0" borderId="21" xfId="272" applyFont="1" applyBorder="1" applyAlignment="1" applyProtection="1">
      <alignment wrapText="1"/>
    </xf>
    <xf numFmtId="0" fontId="3" fillId="0" borderId="15" xfId="0" applyFont="1" applyBorder="1" applyAlignment="1" applyProtection="1">
      <alignment wrapText="1"/>
    </xf>
    <xf numFmtId="0" fontId="3" fillId="0" borderId="25" xfId="0" applyFont="1" applyBorder="1" applyAlignment="1" applyProtection="1">
      <alignment wrapText="1"/>
    </xf>
    <xf numFmtId="0" fontId="3" fillId="0" borderId="17" xfId="0" applyFont="1" applyBorder="1" applyAlignment="1" applyProtection="1">
      <alignment wrapText="1"/>
    </xf>
    <xf numFmtId="0" fontId="3" fillId="0" borderId="0" xfId="0" applyFont="1" applyBorder="1" applyAlignment="1" applyProtection="1">
      <alignment wrapText="1"/>
    </xf>
    <xf numFmtId="0" fontId="3" fillId="0" borderId="18" xfId="0" applyFont="1" applyBorder="1" applyAlignment="1" applyProtection="1">
      <alignment wrapText="1"/>
    </xf>
    <xf numFmtId="0" fontId="5" fillId="0" borderId="0" xfId="0" applyFont="1" applyFill="1" applyAlignment="1" applyProtection="1">
      <alignment wrapText="1"/>
    </xf>
    <xf numFmtId="0" fontId="0" fillId="0" borderId="0" xfId="0" applyAlignment="1" applyProtection="1">
      <alignment wrapText="1"/>
    </xf>
    <xf numFmtId="173" fontId="97" fillId="0" borderId="0" xfId="89" applyNumberFormat="1" applyFont="1" applyBorder="1" applyAlignment="1" applyProtection="1">
      <alignment horizontal="center"/>
    </xf>
    <xf numFmtId="0" fontId="0" fillId="0" borderId="0" xfId="0" applyNumberFormat="1" applyAlignment="1" applyProtection="1">
      <alignment horizontal="left" wrapText="1"/>
    </xf>
    <xf numFmtId="0" fontId="70" fillId="29" borderId="0" xfId="0" applyFont="1" applyFill="1" applyAlignment="1" applyProtection="1">
      <alignment horizontal="left" vertical="top"/>
      <protection locked="0"/>
    </xf>
    <xf numFmtId="173" fontId="97" fillId="0" borderId="0" xfId="86" applyNumberFormat="1" applyFont="1" applyBorder="1" applyAlignment="1" applyProtection="1">
      <alignment horizontal="center"/>
    </xf>
    <xf numFmtId="0" fontId="13" fillId="0" borderId="0" xfId="0" applyFont="1" applyFill="1" applyBorder="1" applyAlignment="1" applyProtection="1">
      <alignment wrapText="1"/>
    </xf>
    <xf numFmtId="0" fontId="13" fillId="0" borderId="0" xfId="266" applyFont="1" applyFill="1" applyAlignment="1" applyProtection="1">
      <alignment horizontal="left" wrapText="1"/>
    </xf>
    <xf numFmtId="0" fontId="13" fillId="0" borderId="0" xfId="193" applyFont="1" applyFill="1" applyAlignment="1" applyProtection="1">
      <alignment wrapText="1"/>
    </xf>
    <xf numFmtId="0" fontId="90" fillId="0" borderId="0" xfId="266" applyFont="1" applyFill="1" applyAlignment="1" applyProtection="1">
      <alignment horizontal="left" wrapText="1"/>
    </xf>
    <xf numFmtId="0" fontId="64" fillId="0" borderId="0" xfId="0" applyFont="1" applyAlignment="1" applyProtection="1">
      <alignment vertical="top" wrapText="1"/>
    </xf>
    <xf numFmtId="0" fontId="13" fillId="0" borderId="0" xfId="0" applyFont="1" applyAlignment="1" applyProtection="1">
      <alignment vertical="top" wrapText="1"/>
    </xf>
    <xf numFmtId="41" fontId="10" fillId="0" borderId="0" xfId="266" applyNumberFormat="1" applyFont="1" applyFill="1" applyBorder="1" applyAlignment="1" applyProtection="1">
      <alignment horizontal="center" wrapText="1"/>
    </xf>
    <xf numFmtId="0" fontId="10" fillId="0" borderId="49" xfId="0" applyFont="1" applyBorder="1" applyAlignment="1">
      <alignment horizontal="center"/>
    </xf>
    <xf numFmtId="0" fontId="10" fillId="0" borderId="13" xfId="0" applyFont="1" applyBorder="1" applyAlignment="1">
      <alignment horizontal="center"/>
    </xf>
    <xf numFmtId="0" fontId="10" fillId="0" borderId="50" xfId="0" applyFont="1" applyBorder="1" applyAlignment="1">
      <alignment horizontal="center"/>
    </xf>
    <xf numFmtId="0" fontId="10"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10" fillId="0" borderId="0" xfId="0" applyFont="1" applyAlignment="1">
      <alignment horizontal="left" wrapText="1"/>
    </xf>
    <xf numFmtId="0" fontId="96" fillId="0" borderId="0" xfId="0" applyFont="1" applyAlignment="1">
      <alignment horizontal="center" wrapText="1"/>
    </xf>
    <xf numFmtId="0" fontId="21" fillId="29" borderId="0" xfId="0" applyFont="1" applyFill="1" applyAlignment="1" applyProtection="1">
      <alignment wrapText="1"/>
      <protection locked="0"/>
    </xf>
    <xf numFmtId="0" fontId="147" fillId="0" borderId="0" xfId="0" applyFont="1" applyAlignment="1">
      <alignment horizontal="left" wrapText="1"/>
    </xf>
    <xf numFmtId="0" fontId="139" fillId="0" borderId="0" xfId="0" applyFont="1" applyAlignment="1">
      <alignment wrapText="1"/>
    </xf>
    <xf numFmtId="0" fontId="139" fillId="0" borderId="0" xfId="0" applyFont="1" applyFill="1" applyAlignment="1">
      <alignment horizontal="left" wrapText="1"/>
    </xf>
    <xf numFmtId="0" fontId="141" fillId="0" borderId="0" xfId="0" applyFont="1" applyAlignment="1">
      <alignment horizontal="center"/>
    </xf>
    <xf numFmtId="0" fontId="141" fillId="0" borderId="0" xfId="0" applyFont="1" applyAlignment="1">
      <alignment horizontal="center" wrapText="1"/>
    </xf>
    <xf numFmtId="173" fontId="141" fillId="0" borderId="0" xfId="115" applyNumberFormat="1" applyFont="1" applyAlignment="1">
      <alignment horizontal="center" wrapText="1"/>
    </xf>
    <xf numFmtId="0" fontId="134" fillId="0" borderId="0" xfId="0" applyFont="1" applyAlignment="1">
      <alignment horizontal="center"/>
    </xf>
    <xf numFmtId="0" fontId="134" fillId="0" borderId="0" xfId="222" applyFont="1" applyBorder="1" applyAlignment="1">
      <alignment horizontal="center"/>
    </xf>
    <xf numFmtId="0" fontId="139" fillId="0" borderId="0" xfId="0" applyFont="1" applyAlignment="1">
      <alignment horizontal="center"/>
    </xf>
    <xf numFmtId="0" fontId="134" fillId="0" borderId="0" xfId="222" applyFont="1" applyFill="1" applyBorder="1" applyAlignment="1">
      <alignment horizontal="center"/>
    </xf>
    <xf numFmtId="3" fontId="134" fillId="0" borderId="0" xfId="0" applyNumberFormat="1" applyFont="1" applyAlignment="1">
      <alignment horizontal="center"/>
    </xf>
    <xf numFmtId="0" fontId="106" fillId="0" borderId="0" xfId="274" applyFont="1" applyAlignment="1" applyProtection="1">
      <alignment horizontal="center"/>
    </xf>
    <xf numFmtId="3" fontId="106" fillId="0" borderId="0" xfId="274" applyNumberFormat="1" applyFont="1" applyAlignment="1" applyProtection="1">
      <alignment horizontal="center"/>
    </xf>
    <xf numFmtId="44" fontId="106" fillId="0" borderId="0" xfId="123" applyFont="1" applyAlignment="1" applyProtection="1">
      <alignment horizontal="center"/>
    </xf>
    <xf numFmtId="0" fontId="77" fillId="0" borderId="30" xfId="274" applyFont="1" applyBorder="1" applyAlignment="1" applyProtection="1">
      <alignment horizontal="center"/>
    </xf>
    <xf numFmtId="0" fontId="4" fillId="0" borderId="0" xfId="274" applyFont="1" applyAlignment="1" applyProtection="1">
      <alignment horizontal="left" wrapText="1"/>
    </xf>
    <xf numFmtId="0" fontId="6" fillId="0" borderId="0" xfId="270" applyFont="1" applyAlignment="1" applyProtection="1">
      <alignment vertical="top" wrapText="1"/>
    </xf>
    <xf numFmtId="0" fontId="4" fillId="0" borderId="0" xfId="0" applyFont="1" applyAlignment="1" applyProtection="1">
      <alignment vertical="top" wrapText="1"/>
    </xf>
    <xf numFmtId="0" fontId="106" fillId="0" borderId="0" xfId="274" applyFont="1" applyAlignment="1">
      <alignment horizontal="center"/>
    </xf>
    <xf numFmtId="0" fontId="6" fillId="0" borderId="0" xfId="271" applyFont="1" applyAlignment="1">
      <alignment vertical="top" wrapText="1"/>
    </xf>
    <xf numFmtId="0" fontId="6" fillId="0" borderId="0" xfId="175" applyFont="1" applyAlignment="1">
      <alignment wrapText="1"/>
    </xf>
    <xf numFmtId="44" fontId="106" fillId="0" borderId="0" xfId="124" applyFont="1" applyAlignment="1">
      <alignment horizontal="center"/>
    </xf>
    <xf numFmtId="0" fontId="77" fillId="0" borderId="30" xfId="274" applyFont="1" applyBorder="1" applyAlignment="1">
      <alignment horizontal="center"/>
    </xf>
    <xf numFmtId="0" fontId="77" fillId="0" borderId="0" xfId="175" applyFont="1" applyAlignment="1">
      <alignment vertical="top" wrapText="1"/>
    </xf>
    <xf numFmtId="0" fontId="13" fillId="0" borderId="0" xfId="175" applyAlignment="1">
      <alignment vertical="top" wrapText="1"/>
    </xf>
    <xf numFmtId="0" fontId="6" fillId="0" borderId="0" xfId="175" applyFont="1" applyAlignment="1">
      <alignment vertical="top" wrapText="1"/>
    </xf>
    <xf numFmtId="0" fontId="135" fillId="0" borderId="0" xfId="274" applyFont="1" applyAlignment="1">
      <alignment horizontal="center"/>
    </xf>
    <xf numFmtId="0" fontId="4" fillId="0" borderId="0" xfId="274" applyAlignment="1">
      <alignment wrapText="1"/>
    </xf>
    <xf numFmtId="0" fontId="7" fillId="0" borderId="0" xfId="0" applyFont="1" applyFill="1" applyAlignment="1" applyProtection="1">
      <alignment horizontal="center"/>
    </xf>
    <xf numFmtId="0" fontId="77" fillId="0" borderId="0" xfId="0" applyFont="1" applyAlignment="1" applyProtection="1">
      <alignment horizontal="center"/>
    </xf>
    <xf numFmtId="0" fontId="119" fillId="0" borderId="0" xfId="0" applyFont="1" applyFill="1" applyAlignment="1" applyProtection="1">
      <alignment horizontal="center" wrapText="1"/>
    </xf>
  </cellXfs>
  <cellStyles count="368">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0] 2" xfId="365"/>
    <cellStyle name="Comma 10" xfId="87"/>
    <cellStyle name="Comma 11" xfId="361"/>
    <cellStyle name="Comma 12 2" xfId="88"/>
    <cellStyle name="Comma 2" xfId="89"/>
    <cellStyle name="Comma 2 2" xfId="90"/>
    <cellStyle name="Comma 3" xfId="91"/>
    <cellStyle name="Comma 3 10" xfId="92"/>
    <cellStyle name="Comma 3 2" xfId="93"/>
    <cellStyle name="Comma 3 3" xfId="94"/>
    <cellStyle name="Comma 3 3 2" xfId="95"/>
    <cellStyle name="Comma 3 3 3" xfId="96"/>
    <cellStyle name="Comma 3 4" xfId="97"/>
    <cellStyle name="Comma 3 4 2" xfId="98"/>
    <cellStyle name="Comma 3 4 3" xfId="99"/>
    <cellStyle name="Comma 3 5" xfId="100"/>
    <cellStyle name="Comma 3 6" xfId="101"/>
    <cellStyle name="Comma 3 6 2" xfId="102"/>
    <cellStyle name="Comma 3 7" xfId="103"/>
    <cellStyle name="Comma 3 7 2" xfId="104"/>
    <cellStyle name="Comma 3 8" xfId="105"/>
    <cellStyle name="Comma 3 9" xfId="106"/>
    <cellStyle name="Comma 3 9 2" xfId="107"/>
    <cellStyle name="Comma 4" xfId="108"/>
    <cellStyle name="Comma 4 2" xfId="109"/>
    <cellStyle name="Comma 5" xfId="110"/>
    <cellStyle name="Comma 5 2" xfId="111"/>
    <cellStyle name="Comma 6" xfId="112"/>
    <cellStyle name="Comma 6 2" xfId="113"/>
    <cellStyle name="Comma 6 3" xfId="114"/>
    <cellStyle name="Comma 7" xfId="115"/>
    <cellStyle name="Comma 7 2" xfId="116"/>
    <cellStyle name="Comma 7 3" xfId="117"/>
    <cellStyle name="Comma 7 4" xfId="118"/>
    <cellStyle name="Comma 8" xfId="119"/>
    <cellStyle name="Comma 9" xfId="120"/>
    <cellStyle name="Comma 9 2" xfId="360"/>
    <cellStyle name="Comma 9 3" xfId="367"/>
    <cellStyle name="Comma_spp calc - revsd rev crd" xfId="121"/>
    <cellStyle name="Comma0" xfId="122"/>
    <cellStyle name="Currency" xfId="123" builtinId="4"/>
    <cellStyle name="Currency [0] 2" xfId="364"/>
    <cellStyle name="Currency 10" xfId="363"/>
    <cellStyle name="Currency 2" xfId="124"/>
    <cellStyle name="Currency 2 2" xfId="125"/>
    <cellStyle name="Currency 3" xfId="126"/>
    <cellStyle name="Currency 3 2" xfId="127"/>
    <cellStyle name="Currency 3 3" xfId="128"/>
    <cellStyle name="Currency 3 3 2" xfId="129"/>
    <cellStyle name="Currency 3 3 3" xfId="130"/>
    <cellStyle name="Currency 3 4" xfId="131"/>
    <cellStyle name="Currency 3 4 2" xfId="132"/>
    <cellStyle name="Currency 3 4 3" xfId="133"/>
    <cellStyle name="Currency 3 5" xfId="134"/>
    <cellStyle name="Currency 3 6" xfId="135"/>
    <cellStyle name="Currency 3 6 2" xfId="136"/>
    <cellStyle name="Currency 3 7" xfId="137"/>
    <cellStyle name="Currency 3 8" xfId="138"/>
    <cellStyle name="Currency 3 9" xfId="139"/>
    <cellStyle name="Currency 4" xfId="140"/>
    <cellStyle name="Currency 4 2" xfId="141"/>
    <cellStyle name="Currency 5" xfId="142"/>
    <cellStyle name="Currency 5 2" xfId="143"/>
    <cellStyle name="Currency 6" xfId="144"/>
    <cellStyle name="Currency 7" xfId="145"/>
    <cellStyle name="Currency 8" xfId="146"/>
    <cellStyle name="Currency 9" xfId="147"/>
    <cellStyle name="Currency0" xfId="148"/>
    <cellStyle name="Date" xfId="149"/>
    <cellStyle name="Explanatory Text" xfId="150" builtinId="53" customBuiltin="1"/>
    <cellStyle name="Explanatory Text 2" xfId="151"/>
    <cellStyle name="Fixed" xfId="152"/>
    <cellStyle name="Good" xfId="153" builtinId="26" customBuiltin="1"/>
    <cellStyle name="Good 2" xfId="154"/>
    <cellStyle name="Heading 1" xfId="155" builtinId="16" customBuiltin="1"/>
    <cellStyle name="Heading 1 2" xfId="156"/>
    <cellStyle name="Heading 2" xfId="157" builtinId="17" customBuiltin="1"/>
    <cellStyle name="Heading 2 2" xfId="158"/>
    <cellStyle name="Heading 3" xfId="159" builtinId="18" customBuiltin="1"/>
    <cellStyle name="Heading 3 2" xfId="160"/>
    <cellStyle name="Heading 4" xfId="161" builtinId="19" customBuiltin="1"/>
    <cellStyle name="Heading 4 2" xfId="162"/>
    <cellStyle name="Heading1" xfId="163"/>
    <cellStyle name="Heading2" xfId="164"/>
    <cellStyle name="Input" xfId="165" builtinId="20" customBuiltin="1"/>
    <cellStyle name="Input 2" xfId="166"/>
    <cellStyle name="Linked Cell" xfId="167" builtinId="24" customBuiltin="1"/>
    <cellStyle name="Linked Cell 2" xfId="168"/>
    <cellStyle name="Neutral" xfId="169" builtinId="28" customBuiltin="1"/>
    <cellStyle name="Neutral 2" xfId="170"/>
    <cellStyle name="Normal" xfId="0" builtinId="0"/>
    <cellStyle name="Normal 10" xfId="171"/>
    <cellStyle name="Normal 10 2" xfId="172"/>
    <cellStyle name="Normal 10 3" xfId="173"/>
    <cellStyle name="Normal 11" xfId="174"/>
    <cellStyle name="Normal 11 2" xfId="175"/>
    <cellStyle name="Normal 11 3" xfId="176"/>
    <cellStyle name="Normal 12" xfId="177"/>
    <cellStyle name="Normal 12 2" xfId="178"/>
    <cellStyle name="Normal 12 4" xfId="179"/>
    <cellStyle name="Normal 13" xfId="180"/>
    <cellStyle name="Normal 13 2" xfId="181"/>
    <cellStyle name="Normal 14" xfId="182"/>
    <cellStyle name="Normal 14 2" xfId="183"/>
    <cellStyle name="Normal 15" xfId="184"/>
    <cellStyle name="Normal 16" xfId="185"/>
    <cellStyle name="Normal 16 2" xfId="186"/>
    <cellStyle name="Normal 17" xfId="187"/>
    <cellStyle name="Normal 17 2" xfId="188"/>
    <cellStyle name="Normal 18" xfId="189"/>
    <cellStyle name="Normal 18 2" xfId="190"/>
    <cellStyle name="Normal 19" xfId="191"/>
    <cellStyle name="Normal 19 2" xfId="192"/>
    <cellStyle name="Normal 2" xfId="193"/>
    <cellStyle name="Normal 2 2" xfId="194"/>
    <cellStyle name="Normal 2 2 2" xfId="195"/>
    <cellStyle name="Normal 2 2 3" xfId="196"/>
    <cellStyle name="Normal 2 2 4" xfId="197"/>
    <cellStyle name="Normal 2 3" xfId="198"/>
    <cellStyle name="Normal 2 4" xfId="199"/>
    <cellStyle name="Normal 2 5" xfId="200"/>
    <cellStyle name="Normal 2 5 2" xfId="201"/>
    <cellStyle name="Normal 20" xfId="202"/>
    <cellStyle name="Normal 20 2" xfId="203"/>
    <cellStyle name="Normal 21" xfId="204"/>
    <cellStyle name="Normal 21 2" xfId="205"/>
    <cellStyle name="Normal 22" xfId="206"/>
    <cellStyle name="Normal 22 2" xfId="207"/>
    <cellStyle name="Normal 23" xfId="208"/>
    <cellStyle name="Normal 23 2" xfId="209"/>
    <cellStyle name="Normal 24" xfId="210"/>
    <cellStyle name="Normal 24 2" xfId="211"/>
    <cellStyle name="Normal 25" xfId="212"/>
    <cellStyle name="Normal 25 2" xfId="213"/>
    <cellStyle name="Normal 26" xfId="214"/>
    <cellStyle name="Normal 26 2" xfId="215"/>
    <cellStyle name="Normal 27" xfId="216"/>
    <cellStyle name="Normal 28" xfId="217"/>
    <cellStyle name="Normal 28 2" xfId="218"/>
    <cellStyle name="Normal 29" xfId="219"/>
    <cellStyle name="Normal 29 2" xfId="220"/>
    <cellStyle name="Normal 3" xfId="221"/>
    <cellStyle name="Normal 3 2" xfId="222"/>
    <cellStyle name="Normal 3 3" xfId="223"/>
    <cellStyle name="Normal 3_Attach O, GG, Support -New Method 2-14-11" xfId="224"/>
    <cellStyle name="Normal 30" xfId="225"/>
    <cellStyle name="Normal 31" xfId="357"/>
    <cellStyle name="Normal 31 2" xfId="366"/>
    <cellStyle name="Normal 32" xfId="359"/>
    <cellStyle name="Normal 33" xfId="362"/>
    <cellStyle name="Normal 4" xfId="226"/>
    <cellStyle name="Normal 4 10" xfId="227"/>
    <cellStyle name="Normal 4 2" xfId="228"/>
    <cellStyle name="Normal 4 3" xfId="229"/>
    <cellStyle name="Normal 4 3 2" xfId="230"/>
    <cellStyle name="Normal 4 3 3" xfId="231"/>
    <cellStyle name="Normal 4 4" xfId="232"/>
    <cellStyle name="Normal 4 4 2" xfId="233"/>
    <cellStyle name="Normal 4 4 3" xfId="234"/>
    <cellStyle name="Normal 4 5" xfId="235"/>
    <cellStyle name="Normal 4 6" xfId="236"/>
    <cellStyle name="Normal 4 6 2" xfId="237"/>
    <cellStyle name="Normal 4 7" xfId="238"/>
    <cellStyle name="Normal 4 7 2" xfId="239"/>
    <cellStyle name="Normal 4 8" xfId="240"/>
    <cellStyle name="Normal 4 9" xfId="241"/>
    <cellStyle name="Normal 4_PBOP Exhibit 1" xfId="242"/>
    <cellStyle name="Normal 5" xfId="243"/>
    <cellStyle name="Normal 5 2" xfId="244"/>
    <cellStyle name="Normal 5 2 2" xfId="245"/>
    <cellStyle name="Normal 5 3" xfId="246"/>
    <cellStyle name="Normal 5 4" xfId="247"/>
    <cellStyle name="Normal 6" xfId="248"/>
    <cellStyle name="Normal 6 2" xfId="249"/>
    <cellStyle name="Normal 6 2 2" xfId="250"/>
    <cellStyle name="Normal 6 2 3" xfId="251"/>
    <cellStyle name="Normal 6 3" xfId="252"/>
    <cellStyle name="Normal 6 3 2" xfId="253"/>
    <cellStyle name="Normal 6 4" xfId="254"/>
    <cellStyle name="Normal 6 4 2" xfId="255"/>
    <cellStyle name="Normal 7" xfId="256"/>
    <cellStyle name="Normal 7 2" xfId="257"/>
    <cellStyle name="Normal 8" xfId="258"/>
    <cellStyle name="Normal 8 2" xfId="259"/>
    <cellStyle name="Normal 9" xfId="260"/>
    <cellStyle name="Normal 9 2" xfId="261"/>
    <cellStyle name="Normal_21 Exh B" xfId="262"/>
    <cellStyle name="Normal_ADITAnalysisID090805" xfId="263"/>
    <cellStyle name="Normal_ADITAnalysisID090805 2" xfId="264"/>
    <cellStyle name="Normal_ADITAnalysisID090805 2 2" xfId="265"/>
    <cellStyle name="Normal_ADITAnalysisID090805 2 2 2" xfId="266"/>
    <cellStyle name="Normal_ADITAnalysisID090805 3" xfId="267"/>
    <cellStyle name="Normal_ADITAnalysisID090805 4 2" xfId="356"/>
    <cellStyle name="Normal_ATC Projected 2008 Monthly Plant Balances for Attachment O 2 (2)" xfId="268"/>
    <cellStyle name="Normal_AU Period 2 Rev 4-27-00" xfId="269"/>
    <cellStyle name="Normal_DeprRateAuth East Dave Davis" xfId="270"/>
    <cellStyle name="Normal_DeprRateAuth East Dave Davis 2" xfId="271"/>
    <cellStyle name="Normal_FN1 Ratebase Draft SPP template (6-11-04) v2" xfId="272"/>
    <cellStyle name="Normal_I&amp;M-AK-1" xfId="273"/>
    <cellStyle name="Normal_Revised 1-21-10  Deprec Summary" xfId="274"/>
    <cellStyle name="Normal_Schedule O Info for Mike" xfId="275"/>
    <cellStyle name="Normal_spp calc - revsd rev crd" xfId="276"/>
    <cellStyle name="Note" xfId="277" builtinId="10" customBuiltin="1"/>
    <cellStyle name="Note 2" xfId="278"/>
    <cellStyle name="Output" xfId="279" builtinId="21" customBuiltin="1"/>
    <cellStyle name="Output 2" xfId="280"/>
    <cellStyle name="Percent" xfId="281" builtinId="5"/>
    <cellStyle name="Percent 10" xfId="282"/>
    <cellStyle name="Percent 11" xfId="358"/>
    <cellStyle name="Percent 2" xfId="283"/>
    <cellStyle name="Percent 2 2" xfId="284"/>
    <cellStyle name="Percent 3" xfId="285"/>
    <cellStyle name="Percent 3 2" xfId="286"/>
    <cellStyle name="Percent 3 3" xfId="287"/>
    <cellStyle name="Percent 3 3 2" xfId="288"/>
    <cellStyle name="Percent 3 3 3" xfId="289"/>
    <cellStyle name="Percent 3 4" xfId="290"/>
    <cellStyle name="Percent 3 4 2" xfId="291"/>
    <cellStyle name="Percent 3 4 3" xfId="292"/>
    <cellStyle name="Percent 3 5" xfId="293"/>
    <cellStyle name="Percent 3 6" xfId="294"/>
    <cellStyle name="Percent 3 6 2" xfId="295"/>
    <cellStyle name="Percent 3 7" xfId="296"/>
    <cellStyle name="Percent 3 8" xfId="297"/>
    <cellStyle name="Percent 3 9" xfId="298"/>
    <cellStyle name="Percent 4" xfId="299"/>
    <cellStyle name="Percent 4 2" xfId="300"/>
    <cellStyle name="Percent 4 3" xfId="301"/>
    <cellStyle name="Percent 5" xfId="302"/>
    <cellStyle name="Percent 5 2" xfId="303"/>
    <cellStyle name="Percent 6" xfId="304"/>
    <cellStyle name="Percent 7" xfId="305"/>
    <cellStyle name="Percent 7 2" xfId="306"/>
    <cellStyle name="Percent 7 3" xfId="307"/>
    <cellStyle name="Percent 7 4" xfId="308"/>
    <cellStyle name="Percent 8" xfId="309"/>
    <cellStyle name="Percent 9" xfId="310"/>
    <cellStyle name="PSChar" xfId="311"/>
    <cellStyle name="PSDate" xfId="312"/>
    <cellStyle name="PSDec" xfId="313"/>
    <cellStyle name="PSdesc" xfId="314"/>
    <cellStyle name="PSHeading" xfId="315"/>
    <cellStyle name="PSInt" xfId="316"/>
    <cellStyle name="PSSpacer" xfId="317"/>
    <cellStyle name="PStest" xfId="318"/>
    <cellStyle name="R00A" xfId="319"/>
    <cellStyle name="R00B" xfId="320"/>
    <cellStyle name="R00L" xfId="321"/>
    <cellStyle name="R01A" xfId="322"/>
    <cellStyle name="R01B" xfId="323"/>
    <cellStyle name="R01H" xfId="324"/>
    <cellStyle name="R01L" xfId="325"/>
    <cellStyle name="R02A" xfId="326"/>
    <cellStyle name="R02B" xfId="327"/>
    <cellStyle name="R02H" xfId="328"/>
    <cellStyle name="R02L" xfId="329"/>
    <cellStyle name="R03A" xfId="330"/>
    <cellStyle name="R03B" xfId="331"/>
    <cellStyle name="R03H" xfId="332"/>
    <cellStyle name="R03L" xfId="333"/>
    <cellStyle name="R04A" xfId="334"/>
    <cellStyle name="R04B" xfId="335"/>
    <cellStyle name="R04H" xfId="336"/>
    <cellStyle name="R04L" xfId="337"/>
    <cellStyle name="R05A" xfId="338"/>
    <cellStyle name="R05B" xfId="339"/>
    <cellStyle name="R05H" xfId="340"/>
    <cellStyle name="R05L" xfId="341"/>
    <cellStyle name="R06A" xfId="342"/>
    <cellStyle name="R06B" xfId="343"/>
    <cellStyle name="R06H" xfId="344"/>
    <cellStyle name="R06L" xfId="345"/>
    <cellStyle name="R07A" xfId="346"/>
    <cellStyle name="R07B" xfId="347"/>
    <cellStyle name="R07H" xfId="348"/>
    <cellStyle name="R07L" xfId="349"/>
    <cellStyle name="Title" xfId="350" builtinId="15" customBuiltin="1"/>
    <cellStyle name="Title 2" xfId="351"/>
    <cellStyle name="Total" xfId="352" builtinId="25" customBuiltin="1"/>
    <cellStyle name="Total 2" xfId="353"/>
    <cellStyle name="Warning Text" xfId="354" builtinId="11" customBuiltin="1"/>
    <cellStyle name="Warning Text 2" xfId="355"/>
  </cellStyles>
  <dxfs count="51">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73"/>
  <sheetViews>
    <sheetView tabSelected="1" view="pageBreakPreview" zoomScale="75" zoomScaleNormal="85" zoomScaleSheetLayoutView="75" zoomScalePageLayoutView="50" workbookViewId="0">
      <selection activeCell="D13" sqref="D13"/>
    </sheetView>
  </sheetViews>
  <sheetFormatPr defaultColWidth="11.42578125" defaultRowHeight="15"/>
  <cols>
    <col min="1" max="1" width="4.5703125" style="315" customWidth="1"/>
    <col min="2" max="2" width="7.85546875" style="314" customWidth="1"/>
    <col min="3" max="3" width="1.85546875" style="315" customWidth="1"/>
    <col min="4" max="4" width="70.140625" style="315" customWidth="1"/>
    <col min="5" max="5" width="25.5703125" style="315" customWidth="1"/>
    <col min="6" max="6" width="22.42578125" style="315" customWidth="1"/>
    <col min="7" max="7" width="24.140625" style="315" customWidth="1"/>
    <col min="8" max="8" width="16.140625" style="315" customWidth="1"/>
    <col min="9" max="9" width="11.42578125" style="315" customWidth="1"/>
    <col min="10" max="10" width="21.5703125" style="315" bestFit="1" customWidth="1"/>
    <col min="11" max="11" width="4.5703125" style="315" customWidth="1"/>
    <col min="12" max="12" width="23" style="315" customWidth="1"/>
    <col min="13" max="13" width="5" style="315" customWidth="1"/>
    <col min="14" max="14" width="8.140625" style="315" customWidth="1"/>
    <col min="15" max="15" width="21.85546875" style="315" customWidth="1"/>
    <col min="16" max="16" width="11.42578125" style="315" customWidth="1"/>
    <col min="17" max="17" width="20.5703125" style="315" bestFit="1" customWidth="1"/>
    <col min="18" max="16384" width="11.42578125" style="315"/>
  </cols>
  <sheetData>
    <row r="1" spans="1:14" ht="15.75">
      <c r="A1" s="893" t="s">
        <v>114</v>
      </c>
    </row>
    <row r="2" spans="1:14" ht="15.75">
      <c r="A2" s="893" t="s">
        <v>114</v>
      </c>
    </row>
    <row r="3" spans="1:14" ht="15.75">
      <c r="D3" s="316"/>
      <c r="E3" s="317"/>
      <c r="F3" s="317"/>
      <c r="G3" s="318"/>
      <c r="I3" s="319"/>
      <c r="J3" s="319"/>
      <c r="K3" s="319"/>
      <c r="L3" s="320"/>
    </row>
    <row r="4" spans="1:14">
      <c r="J4" s="315" t="s">
        <v>825</v>
      </c>
      <c r="L4" s="837">
        <v>2020</v>
      </c>
    </row>
    <row r="5" spans="1:14">
      <c r="D5" s="321"/>
      <c r="E5" s="321"/>
      <c r="F5" s="322" t="s">
        <v>385</v>
      </c>
      <c r="G5" s="323"/>
      <c r="H5" s="323"/>
      <c r="J5" s="321"/>
      <c r="K5" s="324"/>
      <c r="L5" s="324"/>
      <c r="M5" s="325"/>
      <c r="N5" s="326"/>
    </row>
    <row r="6" spans="1:14">
      <c r="D6" s="321"/>
      <c r="E6" s="327"/>
      <c r="F6" s="322" t="s">
        <v>386</v>
      </c>
      <c r="G6" s="323"/>
      <c r="H6" s="323"/>
      <c r="J6" s="327"/>
      <c r="K6" s="324"/>
      <c r="L6" s="324"/>
      <c r="M6" s="325"/>
    </row>
    <row r="7" spans="1:14">
      <c r="D7" s="324"/>
      <c r="E7" s="324"/>
      <c r="F7" s="328" t="str">
        <f>"Utilizing  Actual/Projected FERC Form 1 Data"</f>
        <v>Utilizing  Actual/Projected FERC Form 1 Data</v>
      </c>
      <c r="G7" s="323"/>
      <c r="H7" s="323"/>
      <c r="J7" s="324"/>
      <c r="K7" s="324"/>
      <c r="L7" s="324"/>
      <c r="M7" s="325"/>
    </row>
    <row r="8" spans="1:14">
      <c r="B8" s="329"/>
      <c r="C8" s="330"/>
      <c r="D8" s="324"/>
      <c r="H8" s="331"/>
      <c r="I8" s="331"/>
      <c r="J8" s="331"/>
      <c r="K8" s="331"/>
      <c r="L8" s="324"/>
      <c r="M8" s="324"/>
    </row>
    <row r="9" spans="1:14" ht="15.75">
      <c r="B9" s="329"/>
      <c r="C9" s="330"/>
      <c r="D9" s="332"/>
      <c r="E9" s="324"/>
      <c r="F9" s="333" t="s">
        <v>869</v>
      </c>
      <c r="G9" s="334"/>
      <c r="H9" s="324"/>
      <c r="I9" s="324"/>
      <c r="J9" s="324"/>
      <c r="K9" s="324"/>
      <c r="L9" s="332"/>
      <c r="M9" s="324"/>
    </row>
    <row r="10" spans="1:14">
      <c r="B10" s="329"/>
      <c r="C10" s="330"/>
      <c r="D10" s="324"/>
      <c r="E10" s="324"/>
      <c r="F10" s="335"/>
      <c r="G10" s="334"/>
      <c r="H10" s="324"/>
      <c r="I10" s="324"/>
      <c r="J10" s="324"/>
      <c r="K10" s="324"/>
      <c r="L10" s="332"/>
      <c r="M10" s="324"/>
    </row>
    <row r="11" spans="1:14">
      <c r="B11" s="329" t="s">
        <v>169</v>
      </c>
      <c r="C11" s="330"/>
      <c r="D11" s="324"/>
      <c r="E11" s="324"/>
      <c r="F11" s="324"/>
      <c r="G11" s="334"/>
      <c r="H11" s="324"/>
      <c r="I11" s="324"/>
      <c r="J11" s="324"/>
      <c r="K11" s="324"/>
      <c r="L11" s="330" t="s">
        <v>115</v>
      </c>
      <c r="M11" s="324"/>
    </row>
    <row r="12" spans="1:14" ht="15.75" thickBot="1">
      <c r="B12" s="336" t="s">
        <v>117</v>
      </c>
      <c r="C12" s="337"/>
      <c r="D12" s="324"/>
      <c r="E12" s="337"/>
      <c r="F12" s="324"/>
      <c r="G12" s="324"/>
      <c r="H12" s="324"/>
      <c r="I12" s="324"/>
      <c r="J12" s="324"/>
      <c r="K12" s="324"/>
      <c r="L12" s="338" t="s">
        <v>170</v>
      </c>
      <c r="M12" s="324"/>
    </row>
    <row r="13" spans="1:14">
      <c r="B13" s="329">
        <f>1</f>
        <v>1</v>
      </c>
      <c r="C13" s="330"/>
      <c r="D13" s="339" t="s">
        <v>111</v>
      </c>
      <c r="E13" s="340" t="str">
        <f>"(ln "&amp;B213&amp;")"</f>
        <v>(ln 130)</v>
      </c>
      <c r="F13" s="340"/>
      <c r="G13" s="341"/>
      <c r="H13" s="342"/>
      <c r="I13" s="324"/>
      <c r="J13" s="324"/>
      <c r="K13" s="324"/>
      <c r="L13" s="343">
        <f>+L213</f>
        <v>373735460.34499419</v>
      </c>
      <c r="M13" s="324"/>
    </row>
    <row r="14" spans="1:14" ht="15.75" thickBot="1">
      <c r="B14" s="329"/>
      <c r="C14" s="330"/>
      <c r="E14" s="344"/>
      <c r="F14" s="345"/>
      <c r="G14" s="338" t="s">
        <v>118</v>
      </c>
      <c r="H14" s="327"/>
      <c r="I14" s="346" t="s">
        <v>119</v>
      </c>
      <c r="J14" s="346"/>
      <c r="K14" s="324"/>
      <c r="L14" s="341"/>
      <c r="M14" s="324"/>
    </row>
    <row r="15" spans="1:14">
      <c r="B15" s="329">
        <f>+B13+1</f>
        <v>2</v>
      </c>
      <c r="C15" s="330"/>
      <c r="D15" s="347" t="s">
        <v>168</v>
      </c>
      <c r="E15" s="344" t="s">
        <v>619</v>
      </c>
      <c r="F15" s="345"/>
      <c r="G15" s="348">
        <f>+'WS E Rev Credits'!K31</f>
        <v>5907472.4900000002</v>
      </c>
      <c r="H15" s="345"/>
      <c r="I15" s="349" t="s">
        <v>129</v>
      </c>
      <c r="J15" s="350">
        <v>1</v>
      </c>
      <c r="K15" s="327"/>
      <c r="L15" s="351">
        <f>+J15*G15</f>
        <v>5907472.4900000002</v>
      </c>
      <c r="M15" s="324"/>
    </row>
    <row r="16" spans="1:14">
      <c r="B16" s="329"/>
      <c r="C16" s="330"/>
      <c r="D16" s="347"/>
      <c r="F16" s="327"/>
      <c r="L16" s="352"/>
      <c r="M16" s="324"/>
    </row>
    <row r="17" spans="2:13">
      <c r="B17" s="329"/>
      <c r="C17" s="330"/>
      <c r="D17" s="347"/>
      <c r="F17" s="327"/>
      <c r="L17" s="353"/>
      <c r="M17" s="324"/>
    </row>
    <row r="18" spans="2:13">
      <c r="B18" s="329">
        <f>+B15+1</f>
        <v>3</v>
      </c>
      <c r="C18" s="330"/>
      <c r="D18" s="347" t="s">
        <v>534</v>
      </c>
      <c r="E18" s="315" t="s">
        <v>620</v>
      </c>
      <c r="F18" s="327"/>
      <c r="L18" s="351">
        <f>'WS E Rev Credits'!K39</f>
        <v>0</v>
      </c>
      <c r="M18" s="324"/>
    </row>
    <row r="19" spans="2:13">
      <c r="B19" s="329"/>
      <c r="C19" s="330"/>
      <c r="D19" s="347"/>
      <c r="F19" s="327"/>
      <c r="L19" s="353"/>
      <c r="M19" s="324"/>
    </row>
    <row r="20" spans="2:13" ht="15.75" thickBot="1">
      <c r="B20" s="354">
        <f>+B18+1</f>
        <v>4</v>
      </c>
      <c r="C20" s="355"/>
      <c r="D20" s="356" t="s">
        <v>464</v>
      </c>
      <c r="E20" s="357" t="str">
        <f>"(ln "&amp;B13&amp;" less  ln " &amp;B15&amp;" plus ln "&amp;B18&amp;")"</f>
        <v>(ln 1 less  ln 2 plus ln 3)</v>
      </c>
      <c r="F20" s="324"/>
      <c r="H20" s="327"/>
      <c r="I20" s="358"/>
      <c r="J20" s="327"/>
      <c r="K20" s="327"/>
      <c r="L20" s="359">
        <f>+L13-L15+L18</f>
        <v>367827987.85499418</v>
      </c>
      <c r="M20" s="324"/>
    </row>
    <row r="21" spans="2:13" ht="15.75" thickTop="1">
      <c r="B21" s="354"/>
      <c r="C21" s="355"/>
      <c r="D21" s="356"/>
      <c r="E21" s="357"/>
      <c r="F21" s="324"/>
      <c r="H21" s="327"/>
      <c r="I21" s="358"/>
      <c r="J21" s="327"/>
      <c r="K21" s="327"/>
      <c r="L21" s="351"/>
      <c r="M21" s="324"/>
    </row>
    <row r="22" spans="2:13">
      <c r="B22" s="354"/>
      <c r="C22" s="355"/>
      <c r="D22" s="356"/>
      <c r="E22" s="357"/>
      <c r="F22" s="324"/>
      <c r="H22" s="327"/>
      <c r="I22" s="358"/>
      <c r="J22" s="327"/>
      <c r="K22" s="327"/>
      <c r="L22" s="351"/>
      <c r="M22" s="324"/>
    </row>
    <row r="23" spans="2:13">
      <c r="B23" s="354"/>
      <c r="C23" s="355"/>
      <c r="D23" s="347"/>
      <c r="E23" s="357"/>
      <c r="F23" s="324"/>
      <c r="H23" s="327"/>
      <c r="I23" s="358"/>
      <c r="J23" s="327"/>
      <c r="K23" s="327"/>
      <c r="L23" s="360"/>
      <c r="M23" s="324"/>
    </row>
    <row r="24" spans="2:13" ht="15" customHeight="1">
      <c r="B24" s="1470"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70"/>
      <c r="D24" s="1470"/>
      <c r="E24" s="1470"/>
      <c r="F24" s="1470"/>
      <c r="G24" s="1470"/>
      <c r="H24" s="1470"/>
      <c r="I24" s="1470"/>
    </row>
    <row r="25" spans="2:13" ht="35.25" customHeight="1">
      <c r="B25" s="1470"/>
      <c r="C25" s="1470"/>
      <c r="D25" s="1470"/>
      <c r="E25" s="1470"/>
      <c r="F25" s="1470"/>
      <c r="G25" s="1470"/>
      <c r="H25" s="1470"/>
      <c r="I25" s="1470"/>
    </row>
    <row r="26" spans="2:13" ht="15" customHeight="1">
      <c r="B26" s="361"/>
      <c r="C26" s="361"/>
      <c r="D26" s="361"/>
      <c r="E26" s="361"/>
      <c r="F26" s="361"/>
      <c r="G26" s="361"/>
      <c r="H26" s="361"/>
      <c r="I26" s="361"/>
    </row>
    <row r="27" spans="2:13">
      <c r="B27" s="329">
        <f>+B20+1</f>
        <v>5</v>
      </c>
      <c r="C27" s="355"/>
      <c r="D27" s="362" t="s">
        <v>535</v>
      </c>
      <c r="E27" s="344"/>
      <c r="F27" s="345"/>
      <c r="G27" s="363">
        <f>'WS K TRUE-UP RTEP RR'!N22</f>
        <v>26888818.870044861</v>
      </c>
      <c r="H27" s="345"/>
      <c r="I27" s="349" t="s">
        <v>129</v>
      </c>
      <c r="J27" s="350">
        <v>1</v>
      </c>
      <c r="K27" s="340"/>
      <c r="L27" s="364">
        <f>+J27*G27</f>
        <v>26888818.870044861</v>
      </c>
      <c r="M27" s="324"/>
    </row>
    <row r="28" spans="2:13">
      <c r="B28" s="329"/>
      <c r="C28" s="355"/>
      <c r="D28" s="362"/>
      <c r="E28" s="357"/>
      <c r="F28" s="345"/>
      <c r="G28" s="363"/>
      <c r="H28" s="345"/>
      <c r="I28" s="345"/>
      <c r="J28" s="350"/>
      <c r="K28" s="340"/>
      <c r="L28" s="364"/>
      <c r="M28" s="324"/>
    </row>
    <row r="29" spans="2:13">
      <c r="B29" s="354">
        <f>+B27+1</f>
        <v>6</v>
      </c>
      <c r="C29" s="355"/>
      <c r="D29" s="362" t="s">
        <v>373</v>
      </c>
      <c r="E29" s="344"/>
      <c r="F29" s="324"/>
      <c r="G29" s="365"/>
      <c r="H29" s="324"/>
      <c r="J29" s="324"/>
      <c r="K29" s="324"/>
      <c r="M29" s="324"/>
    </row>
    <row r="30" spans="2:13">
      <c r="B30" s="329">
        <f>B29+1</f>
        <v>7</v>
      </c>
      <c r="C30" s="355"/>
      <c r="D30" s="366" t="s">
        <v>250</v>
      </c>
      <c r="E30" s="340" t="str">
        <f>"( (ln "&amp;B13&amp;" - ln "&amp;B168&amp;")/((ln "&amp;$B$91&amp;") x 100) )"</f>
        <v>( (ln 1 - ln 95)/((ln 42) x 100) )</v>
      </c>
      <c r="F30" s="330"/>
      <c r="G30" s="330"/>
      <c r="H30" s="330"/>
      <c r="I30" s="367"/>
      <c r="J30" s="367"/>
      <c r="K30" s="367"/>
      <c r="L30" s="368">
        <f>(L13-L168)/L$91</f>
        <v>0.12823519561600366</v>
      </c>
      <c r="M30" s="324"/>
    </row>
    <row r="31" spans="2:13">
      <c r="B31" s="329">
        <f>B30+1</f>
        <v>8</v>
      </c>
      <c r="C31" s="355"/>
      <c r="D31" s="366" t="s">
        <v>251</v>
      </c>
      <c r="E31" s="340" t="str">
        <f>"(ln "&amp;B30&amp;" / 12)"</f>
        <v>(ln 7 / 12)</v>
      </c>
      <c r="F31" s="330"/>
      <c r="G31" s="330"/>
      <c r="H31" s="330"/>
      <c r="I31" s="367"/>
      <c r="J31" s="367"/>
      <c r="K31" s="367"/>
      <c r="L31" s="369">
        <f>L30/12</f>
        <v>1.0686266301333638E-2</v>
      </c>
      <c r="M31" s="324"/>
    </row>
    <row r="32" spans="2:13">
      <c r="B32" s="329"/>
      <c r="C32" s="355"/>
      <c r="D32" s="366"/>
      <c r="E32" s="340"/>
      <c r="F32" s="330"/>
      <c r="G32" s="330"/>
      <c r="H32" s="330"/>
      <c r="I32" s="367"/>
      <c r="J32" s="367"/>
      <c r="K32" s="367"/>
      <c r="L32" s="369"/>
      <c r="M32" s="324"/>
    </row>
    <row r="33" spans="2:13">
      <c r="B33" s="329">
        <f>B31+1</f>
        <v>9</v>
      </c>
      <c r="C33" s="355"/>
      <c r="D33" s="362" t="str">
        <f>"NET PLANT CARRYING CHARGE ON LINE "&amp;B30&amp;" , w/o depreciation or ROE incentives (Note B)"</f>
        <v>NET PLANT CARRYING CHARGE ON LINE 7 , w/o depreciation or ROE incentives (Note B)</v>
      </c>
      <c r="E33" s="340"/>
      <c r="F33" s="330"/>
      <c r="G33" s="330"/>
      <c r="H33" s="330"/>
      <c r="I33" s="367"/>
      <c r="J33" s="367"/>
      <c r="K33" s="367"/>
      <c r="L33" s="369"/>
      <c r="M33" s="324"/>
    </row>
    <row r="34" spans="2:13">
      <c r="B34" s="329">
        <f>B33+1</f>
        <v>10</v>
      </c>
      <c r="C34" s="355"/>
      <c r="D34" s="366" t="s">
        <v>250</v>
      </c>
      <c r="E34" s="340" t="str">
        <f>"( (ln "&amp;B13&amp;" - ln "&amp;B168&amp;" - ln "&amp;B174&amp;" ) /((ln "&amp;$B$91&amp;") x 100) )"</f>
        <v>( (ln 1 - ln 95 - ln 100 ) /((ln 42) x 100) )</v>
      </c>
      <c r="F34" s="330"/>
      <c r="G34" s="330"/>
      <c r="H34" s="330"/>
      <c r="I34" s="367"/>
      <c r="J34" s="367"/>
      <c r="K34" s="367"/>
      <c r="L34" s="368">
        <f>(L13-L168-L174)/L91</f>
        <v>0.1009634410531228</v>
      </c>
      <c r="M34" s="324"/>
    </row>
    <row r="35" spans="2:13">
      <c r="B35" s="329"/>
      <c r="C35" s="355"/>
      <c r="D35" s="366"/>
      <c r="E35" s="340"/>
      <c r="F35" s="330"/>
      <c r="G35" s="330"/>
      <c r="H35" s="330"/>
      <c r="I35" s="367"/>
      <c r="J35" s="367"/>
      <c r="K35" s="367"/>
      <c r="L35" s="369"/>
      <c r="M35" s="324"/>
    </row>
    <row r="36" spans="2:13">
      <c r="B36" s="329">
        <f>B34+1</f>
        <v>11</v>
      </c>
      <c r="C36" s="355"/>
      <c r="D36" s="362" t="str">
        <f>"NET PLANT CARRYING CHARGE ON LINE "&amp;B34&amp;", w/o Return, income taxes or ROE incentives (Note B)"</f>
        <v>NET PLANT CARRYING CHARGE ON LINE 10, w/o Return, income taxes or ROE incentives (Note B)</v>
      </c>
      <c r="E36" s="340"/>
      <c r="F36" s="370"/>
      <c r="G36" s="370"/>
      <c r="H36" s="370"/>
      <c r="I36" s="370"/>
      <c r="J36" s="370"/>
      <c r="K36" s="370"/>
      <c r="L36" s="370"/>
      <c r="M36" s="332"/>
    </row>
    <row r="37" spans="2:13">
      <c r="B37" s="329">
        <f>B36+1</f>
        <v>12</v>
      </c>
      <c r="C37" s="355"/>
      <c r="D37" s="321" t="s">
        <v>250</v>
      </c>
      <c r="E37" s="340" t="str">
        <f>"( (ln "&amp;B13&amp;" - ln "&amp;B168&amp;" - ln "&amp;B174&amp;" - ln "&amp;B203&amp;" - ln "&amp;B205&amp;") /((ln "&amp;$B$91&amp;") x 100) )"</f>
        <v>( (ln 1 - ln 95 - ln 100 - ln 125 - ln 126) /((ln 42) x 100) )</v>
      </c>
      <c r="F37" s="370"/>
      <c r="G37" s="370"/>
      <c r="H37" s="370"/>
      <c r="I37" s="370"/>
      <c r="J37" s="370"/>
      <c r="K37" s="370"/>
      <c r="L37" s="371">
        <f>(L13-L168-L174-L203-L205)/L91</f>
        <v>2.8784495459773733E-2</v>
      </c>
      <c r="M37" s="332"/>
    </row>
    <row r="38" spans="2:13">
      <c r="B38" s="329"/>
      <c r="C38" s="355"/>
      <c r="D38" s="321"/>
      <c r="E38" s="340"/>
      <c r="F38" s="330"/>
      <c r="G38" s="330"/>
      <c r="H38" s="330"/>
      <c r="I38" s="367"/>
      <c r="J38" s="367"/>
      <c r="K38" s="367"/>
      <c r="L38" s="368"/>
      <c r="M38" s="372"/>
    </row>
    <row r="39" spans="2:13">
      <c r="B39" s="329">
        <f>B37+1</f>
        <v>13</v>
      </c>
      <c r="C39" s="330"/>
      <c r="D39" s="373" t="s">
        <v>591</v>
      </c>
      <c r="E39" s="340"/>
      <c r="F39" s="330"/>
      <c r="G39" s="330"/>
      <c r="H39" s="330"/>
      <c r="I39" s="367"/>
      <c r="J39" s="367"/>
      <c r="K39" s="367"/>
      <c r="L39" s="374">
        <f>'WS K TRUE-UP RTEP RR'!P23</f>
        <v>0</v>
      </c>
      <c r="M39" s="324"/>
    </row>
    <row r="40" spans="2:13">
      <c r="B40" s="329"/>
      <c r="C40" s="330"/>
      <c r="E40" s="340"/>
      <c r="F40" s="330"/>
      <c r="G40" s="330"/>
      <c r="H40" s="330"/>
      <c r="I40" s="367"/>
      <c r="J40" s="367"/>
      <c r="K40" s="367"/>
      <c r="L40" s="368"/>
      <c r="M40" s="324"/>
    </row>
    <row r="41" spans="2:13">
      <c r="B41" s="315"/>
      <c r="C41" s="330"/>
      <c r="E41" s="340"/>
      <c r="F41" s="330"/>
      <c r="G41" s="330"/>
      <c r="H41" s="330"/>
      <c r="I41" s="367"/>
      <c r="J41" s="367"/>
      <c r="K41" s="367"/>
      <c r="L41" s="368"/>
      <c r="M41" s="324"/>
    </row>
    <row r="42" spans="2:13" ht="15.75">
      <c r="B42" s="329">
        <f>+B39+1</f>
        <v>14</v>
      </c>
      <c r="C42" s="330"/>
      <c r="D42" s="1476" t="s">
        <v>432</v>
      </c>
      <c r="E42" s="1476"/>
      <c r="F42" s="1476"/>
      <c r="G42" s="1476"/>
      <c r="H42" s="1476"/>
      <c r="I42" s="1476"/>
      <c r="J42" s="1476"/>
      <c r="K42" s="1476"/>
      <c r="L42" s="1476"/>
      <c r="M42" s="324"/>
    </row>
    <row r="43" spans="2:13">
      <c r="B43" s="329"/>
      <c r="C43" s="330"/>
      <c r="E43" s="340"/>
      <c r="F43" s="330"/>
      <c r="G43" s="330"/>
      <c r="H43" s="330"/>
      <c r="I43" s="367"/>
      <c r="J43" s="367"/>
      <c r="K43" s="367"/>
      <c r="L43" s="368"/>
      <c r="M43" s="324"/>
    </row>
    <row r="44" spans="2:13">
      <c r="B44" s="329">
        <f>+B42+1</f>
        <v>15</v>
      </c>
      <c r="C44" s="330"/>
      <c r="D44" s="339" t="s">
        <v>434</v>
      </c>
      <c r="E44" s="340" t="str">
        <f>"Line "&amp;B146&amp;" Below"</f>
        <v>Line 75 Below</v>
      </c>
      <c r="F44" s="330"/>
      <c r="H44" s="330"/>
      <c r="I44" s="367"/>
      <c r="J44" s="367"/>
      <c r="K44" s="367"/>
      <c r="L44" s="375">
        <f>+G146</f>
        <v>10502228.300000001</v>
      </c>
      <c r="M44" s="340"/>
    </row>
    <row r="45" spans="2:13">
      <c r="B45" s="329">
        <f>+B44+1</f>
        <v>16</v>
      </c>
      <c r="C45" s="330"/>
      <c r="D45" s="339" t="s">
        <v>472</v>
      </c>
      <c r="E45" s="324"/>
      <c r="F45" s="330"/>
      <c r="H45" s="330"/>
      <c r="I45" s="367"/>
      <c r="J45" s="367"/>
      <c r="K45" s="367"/>
      <c r="L45" s="838">
        <v>5987262</v>
      </c>
      <c r="M45" s="340"/>
    </row>
    <row r="46" spans="2:13">
      <c r="B46" s="329">
        <f>+B45+1</f>
        <v>17</v>
      </c>
      <c r="C46" s="330"/>
      <c r="D46" s="339" t="s">
        <v>473</v>
      </c>
      <c r="E46" s="324"/>
      <c r="F46" s="330"/>
      <c r="H46" s="330"/>
      <c r="I46" s="367"/>
      <c r="J46" s="367"/>
      <c r="K46" s="367"/>
      <c r="L46" s="838">
        <v>1737955</v>
      </c>
      <c r="M46" s="340"/>
    </row>
    <row r="47" spans="2:13">
      <c r="B47" s="329"/>
      <c r="C47" s="330"/>
      <c r="E47" s="324"/>
      <c r="F47" s="330"/>
      <c r="H47" s="330"/>
      <c r="I47" s="367"/>
      <c r="J47" s="367"/>
      <c r="K47" s="367"/>
      <c r="L47" s="330"/>
      <c r="M47" s="340"/>
    </row>
    <row r="48" spans="2:13" ht="15.75" thickBot="1">
      <c r="B48" s="329">
        <f>+B46+1</f>
        <v>18</v>
      </c>
      <c r="C48" s="330"/>
      <c r="D48" s="339" t="s">
        <v>433</v>
      </c>
      <c r="E48" s="342" t="str">
        <f>"(Line "&amp;B44&amp;" - Line "&amp;B45&amp;" - Line "&amp;B46&amp;")"</f>
        <v>(Line 15 - Line 16 - Line 17)</v>
      </c>
      <c r="F48" s="330"/>
      <c r="H48" s="330"/>
      <c r="I48" s="367"/>
      <c r="J48" s="367"/>
      <c r="K48" s="367"/>
      <c r="L48" s="376">
        <f>+L44-L45-L46</f>
        <v>2777011.3000000007</v>
      </c>
      <c r="M48" s="340"/>
    </row>
    <row r="49" spans="2:15" ht="15.75" thickTop="1">
      <c r="B49" s="329"/>
      <c r="C49" s="330"/>
      <c r="E49" s="340"/>
      <c r="F49" s="330"/>
      <c r="G49" s="330"/>
      <c r="H49" s="330"/>
      <c r="I49" s="367"/>
      <c r="J49" s="367"/>
      <c r="K49" s="367"/>
      <c r="L49" s="368"/>
      <c r="M49" s="340"/>
    </row>
    <row r="50" spans="2:15">
      <c r="B50" s="329"/>
      <c r="C50" s="330"/>
      <c r="E50" s="340"/>
      <c r="F50" s="330"/>
      <c r="G50" s="330"/>
      <c r="H50" s="330"/>
      <c r="I50" s="367"/>
      <c r="J50" s="367"/>
      <c r="K50" s="367"/>
      <c r="L50" s="368"/>
      <c r="M50" s="340"/>
    </row>
    <row r="51" spans="2:15">
      <c r="B51" s="329"/>
      <c r="C51" s="330"/>
      <c r="E51" s="340"/>
      <c r="F51" s="330"/>
      <c r="G51" s="330"/>
      <c r="H51" s="330"/>
      <c r="I51" s="367"/>
      <c r="J51" s="367"/>
      <c r="K51" s="367"/>
      <c r="L51" s="368"/>
      <c r="M51" s="340"/>
    </row>
    <row r="52" spans="2:15">
      <c r="D52" s="321"/>
      <c r="E52" s="321"/>
      <c r="G52" s="342"/>
      <c r="H52" s="321"/>
      <c r="I52" s="321"/>
      <c r="J52" s="321"/>
      <c r="K52" s="321"/>
      <c r="L52" s="321"/>
      <c r="M52" s="377"/>
    </row>
    <row r="53" spans="2:15">
      <c r="D53" s="321"/>
      <c r="E53" s="321"/>
      <c r="F53" s="330"/>
      <c r="G53" s="342"/>
      <c r="H53" s="321"/>
      <c r="I53" s="321"/>
      <c r="J53" s="321"/>
      <c r="K53" s="321"/>
      <c r="L53" s="321"/>
      <c r="M53" s="377"/>
      <c r="O53" s="378"/>
    </row>
    <row r="54" spans="2:15">
      <c r="D54" s="321"/>
      <c r="E54" s="321"/>
      <c r="F54" s="330" t="str">
        <f>F5</f>
        <v xml:space="preserve">AEP East Companies </v>
      </c>
      <c r="G54" s="342"/>
      <c r="H54" s="321"/>
      <c r="I54" s="321"/>
      <c r="J54" s="321"/>
      <c r="K54" s="321"/>
      <c r="L54" s="321"/>
      <c r="M54" s="377"/>
      <c r="O54" s="378"/>
    </row>
    <row r="55" spans="2:15">
      <c r="D55" s="321"/>
      <c r="E55" s="327"/>
      <c r="F55" s="330" t="str">
        <f>F6</f>
        <v>Transmission Cost of Service Formula Rate</v>
      </c>
      <c r="G55" s="327"/>
      <c r="H55" s="327"/>
      <c r="I55" s="327"/>
      <c r="J55" s="327"/>
      <c r="K55" s="327"/>
      <c r="L55" s="327"/>
      <c r="M55" s="379"/>
      <c r="O55" s="374"/>
    </row>
    <row r="56" spans="2:15">
      <c r="D56" s="321"/>
      <c r="E56" s="327"/>
      <c r="F56" s="358" t="str">
        <f>F7</f>
        <v>Utilizing  Actual/Projected FERC Form 1 Data</v>
      </c>
      <c r="G56" s="327"/>
      <c r="H56" s="327"/>
      <c r="I56" s="327"/>
      <c r="J56" s="327"/>
      <c r="K56" s="327"/>
      <c r="L56" s="327"/>
      <c r="M56" s="380"/>
      <c r="O56" s="374"/>
    </row>
    <row r="57" spans="2:15">
      <c r="D57" s="321"/>
      <c r="E57" s="327"/>
      <c r="F57" s="330"/>
      <c r="G57" s="327"/>
      <c r="H57" s="327"/>
      <c r="I57" s="327"/>
      <c r="J57" s="327"/>
      <c r="K57" s="327"/>
      <c r="L57" s="327"/>
      <c r="M57" s="345"/>
      <c r="O57" s="374"/>
    </row>
    <row r="58" spans="2:15">
      <c r="D58" s="321"/>
      <c r="E58" s="327"/>
      <c r="F58" s="330" t="str">
        <f>F9</f>
        <v>Appalachian Power Company</v>
      </c>
      <c r="G58" s="327"/>
      <c r="H58" s="327"/>
      <c r="I58" s="327"/>
      <c r="J58" s="327"/>
      <c r="K58" s="327"/>
      <c r="L58" s="327"/>
      <c r="M58" s="345"/>
      <c r="O58" s="374"/>
    </row>
    <row r="59" spans="2:15">
      <c r="D59" s="321"/>
      <c r="E59" s="358"/>
      <c r="F59" s="358"/>
      <c r="G59" s="358"/>
      <c r="H59" s="358"/>
      <c r="I59" s="358"/>
      <c r="J59" s="358"/>
      <c r="K59" s="358"/>
      <c r="L59" s="327"/>
      <c r="M59" s="345"/>
      <c r="O59" s="374"/>
    </row>
    <row r="60" spans="2:15">
      <c r="D60" s="330" t="s">
        <v>121</v>
      </c>
      <c r="E60" s="330" t="s">
        <v>122</v>
      </c>
      <c r="F60" s="330"/>
      <c r="G60" s="330" t="s">
        <v>123</v>
      </c>
      <c r="H60" s="327" t="s">
        <v>114</v>
      </c>
      <c r="I60" s="1471" t="s">
        <v>124</v>
      </c>
      <c r="J60" s="1472"/>
      <c r="K60" s="327"/>
      <c r="L60" s="331" t="s">
        <v>125</v>
      </c>
      <c r="M60" s="345"/>
    </row>
    <row r="61" spans="2:15">
      <c r="B61" s="315"/>
      <c r="D61" s="370"/>
      <c r="E61" s="370"/>
      <c r="F61" s="370"/>
      <c r="G61" s="375"/>
      <c r="H61" s="327"/>
      <c r="I61" s="327"/>
      <c r="J61" s="382"/>
      <c r="K61" s="327"/>
      <c r="M61" s="345"/>
    </row>
    <row r="62" spans="2:15" ht="15.75">
      <c r="B62" s="383"/>
      <c r="C62" s="330"/>
      <c r="D62" s="370"/>
      <c r="E62" s="384" t="s">
        <v>95</v>
      </c>
      <c r="F62" s="385"/>
      <c r="G62" s="327"/>
      <c r="H62" s="327"/>
      <c r="I62" s="327"/>
      <c r="J62" s="330"/>
      <c r="K62" s="327"/>
      <c r="L62" s="386" t="s">
        <v>118</v>
      </c>
      <c r="M62" s="345"/>
      <c r="O62" s="378"/>
    </row>
    <row r="63" spans="2:15" ht="15.75">
      <c r="B63" s="315"/>
      <c r="C63" s="337"/>
      <c r="D63" s="387" t="s">
        <v>94</v>
      </c>
      <c r="E63" s="388" t="s">
        <v>112</v>
      </c>
      <c r="F63" s="327"/>
      <c r="G63" s="387" t="s">
        <v>81</v>
      </c>
      <c r="H63" s="389"/>
      <c r="I63" s="1473" t="s">
        <v>119</v>
      </c>
      <c r="J63" s="1474"/>
      <c r="K63" s="389"/>
      <c r="L63" s="387" t="s">
        <v>115</v>
      </c>
      <c r="M63" s="345"/>
    </row>
    <row r="64" spans="2:15">
      <c r="B64" s="1106" t="str">
        <f>B11</f>
        <v>Line</v>
      </c>
      <c r="C64" s="355"/>
      <c r="D64" s="366"/>
      <c r="E64" s="345"/>
      <c r="F64" s="345"/>
      <c r="G64" s="1107" t="s">
        <v>354</v>
      </c>
      <c r="H64" s="345"/>
      <c r="I64" s="345"/>
      <c r="J64" s="345"/>
      <c r="K64" s="345"/>
      <c r="L64" s="345"/>
      <c r="M64" s="345"/>
    </row>
    <row r="65" spans="2:14" ht="15.75" thickBot="1">
      <c r="B65" s="1108" t="str">
        <f>B12</f>
        <v>No.</v>
      </c>
      <c r="C65" s="355"/>
      <c r="D65" s="366" t="s">
        <v>82</v>
      </c>
      <c r="E65" s="390"/>
      <c r="F65" s="390"/>
      <c r="G65" s="345"/>
      <c r="H65" s="345"/>
      <c r="I65" s="349"/>
      <c r="J65" s="345"/>
      <c r="K65" s="345"/>
      <c r="L65" s="345"/>
      <c r="M65" s="345"/>
    </row>
    <row r="66" spans="2:14">
      <c r="B66" s="354">
        <f>+B48+1</f>
        <v>19</v>
      </c>
      <c r="C66" s="355"/>
      <c r="D66" s="398" t="s">
        <v>126</v>
      </c>
      <c r="E66" s="345" t="str">
        <f>"(Worksheet A ln "&amp;'WS A - RB Support'!A23&amp;"."&amp;'WS A - RB Support'!C8&amp;")"</f>
        <v>(Worksheet A ln 14.(b))</v>
      </c>
      <c r="F66" s="345"/>
      <c r="G66" s="363">
        <f>'WS A - RB Support'!C23</f>
        <v>6567473939.0746145</v>
      </c>
      <c r="H66" s="363"/>
      <c r="I66" s="349" t="s">
        <v>127</v>
      </c>
      <c r="J66" s="350">
        <v>0</v>
      </c>
      <c r="K66" s="345"/>
      <c r="L66" s="392">
        <f>+J66*G66</f>
        <v>0</v>
      </c>
      <c r="M66" s="345"/>
    </row>
    <row r="67" spans="2:14">
      <c r="B67" s="354">
        <f>+B66+1</f>
        <v>20</v>
      </c>
      <c r="C67" s="355"/>
      <c r="D67" s="398" t="s">
        <v>377</v>
      </c>
      <c r="E67" s="345" t="str">
        <f>"(Worksheet A ln "&amp;'WS A - RB Support'!A23&amp;"."&amp;'WS A - RB Support'!D8&amp;")"</f>
        <v>(Worksheet A ln 14.(c))</v>
      </c>
      <c r="F67" s="345"/>
      <c r="G67" s="392">
        <f>-'WS A - RB Support'!D23</f>
        <v>-91386343.248461545</v>
      </c>
      <c r="H67" s="363"/>
      <c r="I67" s="349" t="s">
        <v>127</v>
      </c>
      <c r="J67" s="350">
        <v>0</v>
      </c>
      <c r="K67" s="345"/>
      <c r="L67" s="392">
        <f>+J67*G67</f>
        <v>0</v>
      </c>
      <c r="M67" s="345"/>
    </row>
    <row r="68" spans="2:14">
      <c r="B68" s="354">
        <f t="shared" ref="B68:B74" si="0">+B67+1</f>
        <v>21</v>
      </c>
      <c r="C68" s="406"/>
      <c r="D68" s="1109" t="s">
        <v>128</v>
      </c>
      <c r="E68" s="345" t="str">
        <f>"(Worksheet A ln "&amp;'WS A - RB Support'!A23&amp;"."&amp;'WS A - RB Support'!E8&amp;" &amp; TCOS Ln "&amp;B229&amp;")"</f>
        <v>(Worksheet A ln 14.(d) &amp; TCOS Ln 134)</v>
      </c>
      <c r="F68" s="394"/>
      <c r="G68" s="363">
        <f>'WS A - RB Support'!E23</f>
        <v>3718608301.6946149</v>
      </c>
      <c r="H68" s="363"/>
      <c r="I68" s="395" t="s">
        <v>129</v>
      </c>
      <c r="J68" s="350" t="s">
        <v>114</v>
      </c>
      <c r="K68" s="396"/>
      <c r="L68" s="392">
        <f>+L229</f>
        <v>3636228763.8460765</v>
      </c>
      <c r="M68" s="396"/>
    </row>
    <row r="69" spans="2:14">
      <c r="B69" s="354">
        <f t="shared" si="0"/>
        <v>22</v>
      </c>
      <c r="C69" s="406"/>
      <c r="D69" s="398" t="s">
        <v>378</v>
      </c>
      <c r="E69" s="345" t="str">
        <f>"(Worksheet A ln "&amp;'WS A - RB Support'!A23&amp;"."&amp;'WS A - RB Support'!F8&amp;")"</f>
        <v>(Worksheet A ln 14.(e))</v>
      </c>
      <c r="F69" s="394"/>
      <c r="G69" s="363">
        <f>-'WS A - RB Support'!F23</f>
        <v>0</v>
      </c>
      <c r="H69" s="363"/>
      <c r="I69" s="395" t="s">
        <v>120</v>
      </c>
      <c r="J69" s="350">
        <f>L231</f>
        <v>0.97784667510934209</v>
      </c>
      <c r="K69" s="396"/>
      <c r="L69" s="392">
        <f>+G69*J69</f>
        <v>0</v>
      </c>
      <c r="M69" s="396"/>
    </row>
    <row r="70" spans="2:14">
      <c r="B70" s="354">
        <f>+B69+1</f>
        <v>23</v>
      </c>
      <c r="C70" s="406"/>
      <c r="D70" s="366" t="s">
        <v>130</v>
      </c>
      <c r="E70" s="345" t="str">
        <f>"(Worksheet A ln "&amp;'WS A - RB Support'!A23&amp;"."&amp;'WS A - RB Support'!G8&amp;")"</f>
        <v>(Worksheet A ln 14.(f))</v>
      </c>
      <c r="F70" s="345"/>
      <c r="G70" s="363">
        <f>'WS A - RB Support'!G23</f>
        <v>4320123288.0023079</v>
      </c>
      <c r="H70" s="363"/>
      <c r="I70" s="349" t="s">
        <v>127</v>
      </c>
      <c r="J70" s="350">
        <v>0</v>
      </c>
      <c r="K70" s="345"/>
      <c r="L70" s="392">
        <f>+J70*G70</f>
        <v>0</v>
      </c>
      <c r="M70" s="345"/>
    </row>
    <row r="71" spans="2:14">
      <c r="B71" s="354">
        <f t="shared" si="0"/>
        <v>24</v>
      </c>
      <c r="C71" s="406"/>
      <c r="D71" s="398" t="s">
        <v>375</v>
      </c>
      <c r="E71" s="345" t="str">
        <f>"(Worksheet A ln "&amp;'WS A - RB Support'!A23&amp;"."&amp;'WS A - RB Support'!H8&amp;")"</f>
        <v>(Worksheet A ln 14.(g))</v>
      </c>
      <c r="F71" s="345"/>
      <c r="G71" s="392">
        <f>-'WS A - RB Support'!H23</f>
        <v>-3068.5938461538462</v>
      </c>
      <c r="H71" s="363"/>
      <c r="I71" s="349" t="s">
        <v>127</v>
      </c>
      <c r="J71" s="350">
        <v>0</v>
      </c>
      <c r="K71" s="345"/>
      <c r="L71" s="392">
        <f>+G71*J71</f>
        <v>0</v>
      </c>
      <c r="M71" s="345"/>
    </row>
    <row r="72" spans="2:14">
      <c r="B72" s="354">
        <f t="shared" si="0"/>
        <v>25</v>
      </c>
      <c r="C72" s="406"/>
      <c r="D72" s="366" t="s">
        <v>131</v>
      </c>
      <c r="E72" s="345" t="str">
        <f>"(Worksheet A ln "&amp;'WS A - RB Support'!A23&amp;"."&amp;'WS A - RB Support'!I8&amp;")"</f>
        <v>(Worksheet A ln 14.(h))</v>
      </c>
      <c r="F72" s="345"/>
      <c r="G72" s="363">
        <f>'WS A - RB Support'!I23</f>
        <v>313748821.75999987</v>
      </c>
      <c r="H72" s="363"/>
      <c r="I72" s="349" t="s">
        <v>132</v>
      </c>
      <c r="J72" s="350">
        <f>L241</f>
        <v>0.10558528374676276</v>
      </c>
      <c r="K72" s="345"/>
      <c r="L72" s="392">
        <f>+J72*G72</f>
        <v>33127258.370742083</v>
      </c>
      <c r="M72" s="345"/>
    </row>
    <row r="73" spans="2:14">
      <c r="B73" s="354">
        <f t="shared" si="0"/>
        <v>26</v>
      </c>
      <c r="C73" s="406"/>
      <c r="D73" s="398" t="s">
        <v>376</v>
      </c>
      <c r="E73" s="345" t="str">
        <f>"(Worksheet A ln "&amp;'WS A - RB Support'!A23&amp;"."&amp;'WS A - RB Support'!J8&amp;")"</f>
        <v>(Worksheet A ln 14.(i))</v>
      </c>
      <c r="F73" s="345"/>
      <c r="G73" s="392">
        <f>-'WS A - RB Support'!J23</f>
        <v>-1204128.5169230772</v>
      </c>
      <c r="H73" s="363"/>
      <c r="I73" s="349" t="s">
        <v>132</v>
      </c>
      <c r="J73" s="350">
        <f>L241</f>
        <v>0.10558528374676276</v>
      </c>
      <c r="K73" s="345"/>
      <c r="L73" s="392">
        <f>+G73*J73</f>
        <v>-127138.25112689173</v>
      </c>
      <c r="M73" s="345"/>
    </row>
    <row r="74" spans="2:14" ht="15.75" thickBot="1">
      <c r="B74" s="354">
        <f t="shared" si="0"/>
        <v>27</v>
      </c>
      <c r="C74" s="406"/>
      <c r="D74" s="366" t="s">
        <v>133</v>
      </c>
      <c r="E74" s="345" t="str">
        <f>"(Worksheet A ln "&amp;'WS A - RB Support'!A23&amp;"."&amp;'WS A - RB Support'!K8&amp;")"</f>
        <v>(Worksheet A ln 14.(j))</v>
      </c>
      <c r="F74" s="345"/>
      <c r="G74" s="399">
        <f>'WS A - RB Support'!K23</f>
        <v>241441516.32307693</v>
      </c>
      <c r="H74" s="363"/>
      <c r="I74" s="349" t="s">
        <v>132</v>
      </c>
      <c r="J74" s="350">
        <f>L241</f>
        <v>0.10558528374676276</v>
      </c>
      <c r="K74" s="345"/>
      <c r="L74" s="489">
        <f>+J74*G74</f>
        <v>25492671.009220731</v>
      </c>
      <c r="M74" s="345"/>
      <c r="N74" s="321"/>
    </row>
    <row r="75" spans="2:14" ht="15.75">
      <c r="B75" s="354">
        <f>+B74+1</f>
        <v>28</v>
      </c>
      <c r="C75" s="406"/>
      <c r="D75" s="366" t="s">
        <v>47</v>
      </c>
      <c r="E75" s="355" t="str">
        <f>"(sum lns "&amp;B66&amp;" to "&amp;B74&amp;")"</f>
        <v>(sum lns 19 to 27)</v>
      </c>
      <c r="F75" s="691"/>
      <c r="G75" s="363">
        <f>SUM(G66:G74)</f>
        <v>15068802326.495382</v>
      </c>
      <c r="H75" s="363"/>
      <c r="I75" s="490" t="s">
        <v>757</v>
      </c>
      <c r="J75" s="401">
        <f>+L75/G75</f>
        <v>0.24519012692060513</v>
      </c>
      <c r="K75" s="345"/>
      <c r="L75" s="363">
        <f>SUM(L66:L74)</f>
        <v>3694721554.9749126</v>
      </c>
      <c r="M75" s="345"/>
      <c r="N75" s="321"/>
    </row>
    <row r="76" spans="2:14" ht="15.75">
      <c r="B76" s="354"/>
      <c r="C76" s="355"/>
      <c r="D76" s="366"/>
      <c r="E76" s="1111"/>
      <c r="F76" s="691"/>
      <c r="G76" s="363"/>
      <c r="H76" s="363"/>
      <c r="I76" s="1104" t="s">
        <v>216</v>
      </c>
      <c r="J76" s="402">
        <f>+L68/(G70+G68+G71)</f>
        <v>0.45233879391502479</v>
      </c>
      <c r="K76" s="345"/>
      <c r="L76" s="363"/>
      <c r="M76" s="345"/>
      <c r="N76" s="321"/>
    </row>
    <row r="77" spans="2:14">
      <c r="B77" s="354">
        <f>+B75+1</f>
        <v>29</v>
      </c>
      <c r="C77" s="355"/>
      <c r="D77" s="366" t="s">
        <v>24</v>
      </c>
      <c r="E77" s="390"/>
      <c r="F77" s="390"/>
      <c r="G77" s="363"/>
      <c r="H77" s="403"/>
      <c r="I77" s="349"/>
      <c r="J77" s="404"/>
      <c r="K77" s="345"/>
      <c r="L77" s="363"/>
      <c r="M77" s="345"/>
      <c r="N77" s="327"/>
    </row>
    <row r="78" spans="2:14">
      <c r="B78" s="354">
        <f>+B77+1</f>
        <v>30</v>
      </c>
      <c r="C78" s="355"/>
      <c r="D78" s="398" t="str">
        <f>+D66</f>
        <v xml:space="preserve">  Production</v>
      </c>
      <c r="E78" s="345" t="str">
        <f>"(Worksheet A ln "&amp;'WS A - RB Support'!A42&amp;"."&amp;'WS A - RB Support'!C27&amp;")"</f>
        <v>(Worksheet A ln 28.(b))</v>
      </c>
      <c r="F78" s="345"/>
      <c r="G78" s="363">
        <f>'WS A - RB Support'!C42</f>
        <v>2792527251.2169232</v>
      </c>
      <c r="H78" s="363"/>
      <c r="I78" s="349" t="s">
        <v>127</v>
      </c>
      <c r="J78" s="350">
        <v>0</v>
      </c>
      <c r="K78" s="345"/>
      <c r="L78" s="392">
        <f>+J78*G78</f>
        <v>0</v>
      </c>
      <c r="M78" s="345"/>
      <c r="N78" s="327"/>
    </row>
    <row r="79" spans="2:14">
      <c r="B79" s="354">
        <f t="shared" ref="B79:B87" si="1">+B78+1</f>
        <v>31</v>
      </c>
      <c r="C79" s="355"/>
      <c r="D79" s="398" t="s">
        <v>377</v>
      </c>
      <c r="E79" s="345" t="str">
        <f>"(Worksheet A ln "&amp;'WS A - RB Support'!A42&amp;"."&amp;'WS A - RB Support'!D27&amp;")"</f>
        <v>(Worksheet A ln 28.(c))</v>
      </c>
      <c r="F79" s="345"/>
      <c r="G79" s="392">
        <f>-'WS A - RB Support'!D42</f>
        <v>-40909148.353076927</v>
      </c>
      <c r="H79" s="363"/>
      <c r="I79" s="349" t="s">
        <v>127</v>
      </c>
      <c r="J79" s="350">
        <v>0</v>
      </c>
      <c r="K79" s="345"/>
      <c r="L79" s="392">
        <f>+J79*G79</f>
        <v>0</v>
      </c>
      <c r="M79" s="345"/>
      <c r="N79" s="327"/>
    </row>
    <row r="80" spans="2:14" ht="15.75">
      <c r="B80" s="354">
        <f t="shared" si="1"/>
        <v>32</v>
      </c>
      <c r="C80" s="406"/>
      <c r="D80" s="1109" t="str">
        <f>D68</f>
        <v xml:space="preserve">  Transmission</v>
      </c>
      <c r="E80" s="345" t="str">
        <f>"(Worksheet A ln "&amp;'WS A - RB Support'!A42&amp;"."&amp;'WS A - RB Support'!E27&amp;" &amp; "&amp;"ln "&amp;'WS A - RB Support'!A64&amp;"."&amp;'WS A - RB Support'!D47&amp;")"</f>
        <v>(Worksheet A ln 28.(d) &amp; ln 43.(c))</v>
      </c>
      <c r="F80" s="394"/>
      <c r="G80" s="397">
        <f>'WS A - RB Support'!E42</f>
        <v>743310220.50923073</v>
      </c>
      <c r="H80" s="363"/>
      <c r="I80" s="1105" t="s">
        <v>27</v>
      </c>
      <c r="J80" s="405">
        <f>L80/G80</f>
        <v>0.97102887555344486</v>
      </c>
      <c r="K80" s="396"/>
      <c r="L80" s="392">
        <f>'WS A - RB Support'!D64</f>
        <v>721775687.6084615</v>
      </c>
      <c r="M80" s="396"/>
      <c r="N80" s="327"/>
    </row>
    <row r="81" spans="2:14" ht="15.75">
      <c r="B81" s="354">
        <f t="shared" si="1"/>
        <v>33</v>
      </c>
      <c r="C81" s="406"/>
      <c r="D81" s="398" t="s">
        <v>378</v>
      </c>
      <c r="E81" s="345" t="str">
        <f>"(Worksheet A ln "&amp;'WS A - RB Support'!A42&amp;"."&amp;'WS A - RB Support'!F27&amp;")"</f>
        <v>(Worksheet A ln 28.(e))</v>
      </c>
      <c r="F81" s="394"/>
      <c r="G81" s="392">
        <f>-'WS A - RB Support'!F42</f>
        <v>0</v>
      </c>
      <c r="H81" s="363"/>
      <c r="I81" s="1105" t="s">
        <v>27</v>
      </c>
      <c r="J81" s="350">
        <f>+J80</f>
        <v>0.97102887555344486</v>
      </c>
      <c r="K81" s="396"/>
      <c r="L81" s="392">
        <f t="shared" ref="L81:L86" si="2">+J81*G81</f>
        <v>0</v>
      </c>
      <c r="M81" s="396"/>
      <c r="N81" s="327"/>
    </row>
    <row r="82" spans="2:14">
      <c r="B82" s="354">
        <f>+B81+1</f>
        <v>34</v>
      </c>
      <c r="C82" s="406"/>
      <c r="D82" s="366" t="str">
        <f>+D70</f>
        <v xml:space="preserve">  Distribution</v>
      </c>
      <c r="E82" s="345" t="str">
        <f>"(Worksheet A ln "&amp;'WS A - RB Support'!A42&amp;"."&amp;'WS A - RB Support'!G27&amp;")"</f>
        <v>(Worksheet A ln 28.(f))</v>
      </c>
      <c r="F82" s="345"/>
      <c r="G82" s="363">
        <f>'WS A - RB Support'!G42</f>
        <v>1472984139.9615386</v>
      </c>
      <c r="H82" s="363"/>
      <c r="I82" s="349" t="s">
        <v>127</v>
      </c>
      <c r="J82" s="350">
        <v>0</v>
      </c>
      <c r="K82" s="345"/>
      <c r="L82" s="392">
        <f t="shared" si="2"/>
        <v>0</v>
      </c>
      <c r="M82" s="345"/>
      <c r="N82" s="327"/>
    </row>
    <row r="83" spans="2:14">
      <c r="B83" s="354">
        <f t="shared" si="1"/>
        <v>35</v>
      </c>
      <c r="C83" s="406"/>
      <c r="D83" s="398" t="s">
        <v>375</v>
      </c>
      <c r="E83" s="345" t="str">
        <f>"(Worksheet A ln "&amp;'WS A - RB Support'!A42&amp;"."&amp;'WS A - RB Support'!H27&amp;")"</f>
        <v>(Worksheet A ln 28.(g))</v>
      </c>
      <c r="F83" s="345"/>
      <c r="G83" s="392">
        <f>-'WS A - RB Support'!H42</f>
        <v>-2032.330769230769</v>
      </c>
      <c r="H83" s="363"/>
      <c r="I83" s="349" t="s">
        <v>127</v>
      </c>
      <c r="J83" s="350">
        <v>0</v>
      </c>
      <c r="K83" s="345"/>
      <c r="L83" s="392">
        <f t="shared" si="2"/>
        <v>0</v>
      </c>
      <c r="M83" s="345"/>
      <c r="N83" s="327"/>
    </row>
    <row r="84" spans="2:14">
      <c r="B84" s="354">
        <f t="shared" si="1"/>
        <v>36</v>
      </c>
      <c r="C84" s="406"/>
      <c r="D84" s="366" t="str">
        <f>+D72</f>
        <v xml:space="preserve">  General Plant   </v>
      </c>
      <c r="E84" s="345" t="str">
        <f>"(Worksheet A ln "&amp;'WS A - RB Support'!A42&amp;"."&amp;'WS A - RB Support'!I27&amp;")"</f>
        <v>(Worksheet A ln 28.(h))</v>
      </c>
      <c r="F84" s="345"/>
      <c r="G84" s="348">
        <f>'WS A - RB Support'!I42</f>
        <v>88964496.424615383</v>
      </c>
      <c r="H84" s="363"/>
      <c r="I84" s="349" t="s">
        <v>132</v>
      </c>
      <c r="J84" s="350">
        <f>L241</f>
        <v>0.10558528374676276</v>
      </c>
      <c r="K84" s="345"/>
      <c r="L84" s="392">
        <f t="shared" si="2"/>
        <v>9393341.5983808767</v>
      </c>
      <c r="M84" s="345"/>
      <c r="N84" s="327"/>
    </row>
    <row r="85" spans="2:14">
      <c r="B85" s="354">
        <f t="shared" si="1"/>
        <v>37</v>
      </c>
      <c r="C85" s="406"/>
      <c r="D85" s="398" t="s">
        <v>376</v>
      </c>
      <c r="E85" s="345" t="str">
        <f>"(Worksheet A ln "&amp;'WS A - RB Support'!A42&amp;"."&amp;'WS A - RB Support'!J27&amp;")"</f>
        <v>(Worksheet A ln 28.(i))</v>
      </c>
      <c r="F85" s="345"/>
      <c r="G85" s="392">
        <f>-'WS A - RB Support'!J42</f>
        <v>-728316.08230769238</v>
      </c>
      <c r="H85" s="363"/>
      <c r="I85" s="349" t="s">
        <v>132</v>
      </c>
      <c r="J85" s="350">
        <f>L241</f>
        <v>0.10558528374676276</v>
      </c>
      <c r="K85" s="345"/>
      <c r="L85" s="392">
        <f t="shared" si="2"/>
        <v>-76899.460207788332</v>
      </c>
      <c r="M85" s="345"/>
      <c r="N85" s="327"/>
    </row>
    <row r="86" spans="2:14" ht="15.75" thickBot="1">
      <c r="B86" s="354">
        <f t="shared" si="1"/>
        <v>38</v>
      </c>
      <c r="C86" s="406"/>
      <c r="D86" s="366" t="str">
        <f>+D74</f>
        <v xml:space="preserve">  Intangible Plant</v>
      </c>
      <c r="E86" s="345" t="str">
        <f>"(Worksheet A ln "&amp;'WS A - RB Support'!A42&amp;"."&amp;'WS A - RB Support'!K27&amp;")"</f>
        <v>(Worksheet A ln 28.(j))</v>
      </c>
      <c r="F86" s="345"/>
      <c r="G86" s="399">
        <f>'WS A - RB Support'!K42</f>
        <v>114510050.51461537</v>
      </c>
      <c r="H86" s="363"/>
      <c r="I86" s="349" t="s">
        <v>132</v>
      </c>
      <c r="J86" s="350">
        <f>L241</f>
        <v>0.10558528374676276</v>
      </c>
      <c r="K86" s="345"/>
      <c r="L86" s="489">
        <f t="shared" si="2"/>
        <v>12090576.175441802</v>
      </c>
      <c r="M86" s="345"/>
      <c r="N86" s="327"/>
    </row>
    <row r="87" spans="2:14">
      <c r="B87" s="354">
        <f t="shared" si="1"/>
        <v>39</v>
      </c>
      <c r="C87" s="406"/>
      <c r="D87" s="366" t="s">
        <v>46</v>
      </c>
      <c r="E87" s="1089" t="str">
        <f>"(sum lns "&amp;B78&amp;" to "&amp;B86&amp;")"</f>
        <v>(sum lns 30 to 38)</v>
      </c>
      <c r="F87" s="689"/>
      <c r="G87" s="363">
        <f>SUM(G78:G86)</f>
        <v>5170656661.8607683</v>
      </c>
      <c r="H87" s="363"/>
      <c r="I87" s="349"/>
      <c r="J87" s="345"/>
      <c r="K87" s="363"/>
      <c r="L87" s="363">
        <f>SUM(L78:L86)</f>
        <v>743182705.92207646</v>
      </c>
      <c r="M87" s="345"/>
      <c r="N87" s="327"/>
    </row>
    <row r="88" spans="2:14">
      <c r="B88" s="354"/>
      <c r="C88" s="355"/>
      <c r="D88" s="320"/>
      <c r="E88" s="1112"/>
      <c r="F88" s="689"/>
      <c r="G88" s="363"/>
      <c r="H88" s="363"/>
      <c r="I88" s="349"/>
      <c r="J88" s="407"/>
      <c r="K88" s="345"/>
      <c r="L88" s="363"/>
      <c r="M88" s="345"/>
      <c r="N88" s="327"/>
    </row>
    <row r="89" spans="2:14">
      <c r="B89" s="354">
        <f>+B87+1</f>
        <v>40</v>
      </c>
      <c r="C89" s="355"/>
      <c r="D89" s="366" t="s">
        <v>83</v>
      </c>
      <c r="E89" s="390"/>
      <c r="F89" s="390"/>
      <c r="G89" s="363"/>
      <c r="H89" s="363"/>
      <c r="I89" s="349"/>
      <c r="J89" s="345"/>
      <c r="K89" s="345"/>
      <c r="L89" s="363"/>
      <c r="M89" s="345"/>
      <c r="N89" s="327"/>
    </row>
    <row r="90" spans="2:14">
      <c r="B90" s="354">
        <f t="shared" ref="B90:B95" si="3">+B89+1</f>
        <v>41</v>
      </c>
      <c r="C90" s="406"/>
      <c r="D90" s="398" t="str">
        <f>+D78</f>
        <v xml:space="preserve">  Production</v>
      </c>
      <c r="E90" s="345" t="str">
        <f>" (ln "&amp;B66&amp;" + ln "&amp;B67&amp;" - ln "&amp;B78&amp;" - ln "&amp;B79&amp;")"</f>
        <v xml:space="preserve"> (ln 19 + ln 20 - ln 30 - ln 31)</v>
      </c>
      <c r="F90" s="345"/>
      <c r="G90" s="363">
        <f>G66+G67-G78-G79</f>
        <v>3724469492.9623065</v>
      </c>
      <c r="H90" s="363"/>
      <c r="I90" s="349"/>
      <c r="J90" s="408"/>
      <c r="K90" s="345"/>
      <c r="L90" s="363">
        <f>L66+L67-L78-L79</f>
        <v>0</v>
      </c>
      <c r="M90" s="345"/>
      <c r="N90" s="327"/>
    </row>
    <row r="91" spans="2:14">
      <c r="B91" s="354">
        <f t="shared" si="3"/>
        <v>42</v>
      </c>
      <c r="C91" s="406"/>
      <c r="D91" s="398" t="str">
        <f>+D80</f>
        <v xml:space="preserve">  Transmission</v>
      </c>
      <c r="E91" s="345" t="str">
        <f>" (ln "&amp;B68&amp;" + ln "&amp;B69&amp;" - ln "&amp;B80&amp;" - ln "&amp;B81&amp;")"</f>
        <v xml:space="preserve"> (ln 21 + ln 22 - ln 32 - ln 33)</v>
      </c>
      <c r="F91" s="345"/>
      <c r="G91" s="363">
        <f>+G68+G69-G80-G81</f>
        <v>2975298081.1853843</v>
      </c>
      <c r="H91" s="363"/>
      <c r="I91" s="349"/>
      <c r="J91" s="405"/>
      <c r="K91" s="345"/>
      <c r="L91" s="363">
        <f>+L68+L69-L80-L81</f>
        <v>2914453076.2376151</v>
      </c>
      <c r="M91" s="345"/>
      <c r="N91" s="327"/>
    </row>
    <row r="92" spans="2:14">
      <c r="B92" s="354">
        <f>+B91+1</f>
        <v>43</v>
      </c>
      <c r="C92" s="406"/>
      <c r="D92" s="398" t="str">
        <f>+D82</f>
        <v xml:space="preserve">  Distribution</v>
      </c>
      <c r="E92" s="345" t="str">
        <f>" (ln "&amp;B70&amp;" + ln "&amp;B71&amp;" - ln "&amp;B82&amp;" - ln "&amp;B83&amp;")"</f>
        <v xml:space="preserve"> (ln 23 + ln 24 - ln 34 - ln 35)</v>
      </c>
      <c r="F92" s="345"/>
      <c r="G92" s="363">
        <f>+G70+G71-G82-G83</f>
        <v>2847138111.7776923</v>
      </c>
      <c r="H92" s="363"/>
      <c r="I92" s="349"/>
      <c r="J92" s="407"/>
      <c r="K92" s="345"/>
      <c r="L92" s="363">
        <f>+L70+L71-L82-L83</f>
        <v>0</v>
      </c>
      <c r="M92" s="345"/>
      <c r="N92" s="327"/>
    </row>
    <row r="93" spans="2:14">
      <c r="B93" s="354">
        <f t="shared" si="3"/>
        <v>44</v>
      </c>
      <c r="C93" s="406"/>
      <c r="D93" s="398" t="str">
        <f>+D84</f>
        <v xml:space="preserve">  General Plant   </v>
      </c>
      <c r="E93" s="345" t="str">
        <f>" (ln "&amp;B72&amp;" + ln "&amp;B73&amp;" - ln "&amp;B84&amp;" - ln "&amp;B85&amp;")"</f>
        <v xml:space="preserve"> (ln 25 + ln 26 - ln 36 - ln 37)</v>
      </c>
      <c r="F93" s="345"/>
      <c r="G93" s="363">
        <f>+G72+G73-G84-G85</f>
        <v>224308512.90076911</v>
      </c>
      <c r="H93" s="363"/>
      <c r="I93" s="349"/>
      <c r="J93" s="407"/>
      <c r="K93" s="345"/>
      <c r="L93" s="363">
        <f>+L72+L73-L84-L85</f>
        <v>23683677.981442101</v>
      </c>
      <c r="M93" s="345"/>
      <c r="N93" s="327"/>
    </row>
    <row r="94" spans="2:14" ht="15.75" thickBot="1">
      <c r="B94" s="354">
        <f t="shared" si="3"/>
        <v>45</v>
      </c>
      <c r="C94" s="406"/>
      <c r="D94" s="398" t="str">
        <f>+D86</f>
        <v xml:space="preserve">  Intangible Plant</v>
      </c>
      <c r="E94" s="345" t="str">
        <f>" (ln "&amp;B74&amp;" - ln "&amp;B86&amp;")"</f>
        <v xml:space="preserve"> (ln 27 - ln 38)</v>
      </c>
      <c r="F94" s="345"/>
      <c r="G94" s="399">
        <f>+G74-G86</f>
        <v>126931465.80846156</v>
      </c>
      <c r="H94" s="363"/>
      <c r="I94" s="349"/>
      <c r="J94" s="407"/>
      <c r="K94" s="345"/>
      <c r="L94" s="399">
        <f>+L74-L86</f>
        <v>13402094.833778929</v>
      </c>
      <c r="M94" s="345"/>
      <c r="N94" s="327"/>
    </row>
    <row r="95" spans="2:14" ht="15.75">
      <c r="B95" s="354">
        <f t="shared" si="3"/>
        <v>46</v>
      </c>
      <c r="C95" s="406"/>
      <c r="D95" s="398" t="s">
        <v>45</v>
      </c>
      <c r="E95" s="398" t="str">
        <f>"(sum lns "&amp;B90&amp;" to "&amp;B94&amp;")"</f>
        <v>(sum lns 41 to 45)</v>
      </c>
      <c r="F95" s="345"/>
      <c r="G95" s="363">
        <f>SUM(G90:G94)</f>
        <v>9898145664.634613</v>
      </c>
      <c r="H95" s="363"/>
      <c r="I95" s="490" t="s">
        <v>758</v>
      </c>
      <c r="J95" s="401">
        <f>+L95/G95</f>
        <v>0.29819109043812914</v>
      </c>
      <c r="K95" s="345"/>
      <c r="L95" s="363">
        <f>SUM(L90:L94)</f>
        <v>2951538849.0528359</v>
      </c>
      <c r="M95" s="345"/>
      <c r="N95" s="327"/>
    </row>
    <row r="96" spans="2:14">
      <c r="B96" s="354"/>
      <c r="C96" s="355"/>
      <c r="D96" s="366"/>
      <c r="E96" s="345"/>
      <c r="F96" s="345"/>
      <c r="G96" s="363"/>
      <c r="H96" s="363"/>
      <c r="I96" s="423"/>
      <c r="J96" s="412"/>
      <c r="K96" s="345"/>
      <c r="L96" s="363"/>
      <c r="M96" s="345"/>
      <c r="N96" s="327"/>
    </row>
    <row r="97" spans="2:14">
      <c r="B97" s="354"/>
      <c r="C97" s="355"/>
      <c r="D97" s="320"/>
      <c r="E97" s="320"/>
      <c r="F97" s="320"/>
      <c r="G97" s="577"/>
      <c r="H97" s="577"/>
      <c r="I97" s="1111"/>
      <c r="J97" s="577"/>
      <c r="K97" s="577"/>
      <c r="L97" s="577"/>
      <c r="M97" s="413"/>
      <c r="N97" s="327"/>
    </row>
    <row r="98" spans="2:14">
      <c r="B98" s="354">
        <f>+B95+1</f>
        <v>47</v>
      </c>
      <c r="C98" s="355"/>
      <c r="D98" s="366" t="s">
        <v>326</v>
      </c>
      <c r="E98" s="345" t="s">
        <v>303</v>
      </c>
      <c r="F98" s="349"/>
      <c r="G98" s="577"/>
      <c r="H98" s="577"/>
      <c r="I98" s="1111"/>
      <c r="J98" s="577"/>
      <c r="K98" s="577"/>
      <c r="L98" s="577"/>
      <c r="M98" s="413"/>
      <c r="N98" s="327"/>
    </row>
    <row r="99" spans="2:14">
      <c r="B99" s="354">
        <f t="shared" ref="B99:B104" si="4">+B98+1</f>
        <v>48</v>
      </c>
      <c r="C99" s="406"/>
      <c r="D99" s="398" t="s">
        <v>193</v>
      </c>
      <c r="E99" s="345" t="s">
        <v>536</v>
      </c>
      <c r="F99" s="345"/>
      <c r="G99" s="363">
        <f>-'WS B ADIT &amp; ITC'!I17</f>
        <v>-254314786.08500001</v>
      </c>
      <c r="H99" s="363"/>
      <c r="I99" s="349" t="s">
        <v>127</v>
      </c>
      <c r="J99" s="350"/>
      <c r="K99" s="345"/>
      <c r="L99" s="363">
        <f>'WS B ADIT &amp; ITC'!I20</f>
        <v>0</v>
      </c>
      <c r="M99" s="345"/>
      <c r="N99" s="327"/>
    </row>
    <row r="100" spans="2:14">
      <c r="B100" s="354">
        <f t="shared" si="4"/>
        <v>49</v>
      </c>
      <c r="C100" s="406"/>
      <c r="D100" s="398" t="s">
        <v>194</v>
      </c>
      <c r="E100" s="345" t="s">
        <v>537</v>
      </c>
      <c r="F100" s="345"/>
      <c r="G100" s="363">
        <f>-'WS B ADIT &amp; ITC'!I25</f>
        <v>-2046937156.0949998</v>
      </c>
      <c r="H100" s="363"/>
      <c r="I100" s="349" t="s">
        <v>129</v>
      </c>
      <c r="J100" s="350"/>
      <c r="K100" s="345"/>
      <c r="L100" s="363">
        <f>-'WS B ADIT &amp; ITC'!I28</f>
        <v>-600545548.10500002</v>
      </c>
      <c r="M100" s="345"/>
      <c r="N100" s="327"/>
    </row>
    <row r="101" spans="2:14">
      <c r="B101" s="354">
        <f t="shared" si="4"/>
        <v>50</v>
      </c>
      <c r="C101" s="406"/>
      <c r="D101" s="398" t="s">
        <v>195</v>
      </c>
      <c r="E101" s="345" t="s">
        <v>538</v>
      </c>
      <c r="F101" s="345"/>
      <c r="G101" s="363">
        <f>-'WS B ADIT &amp; ITC'!I33</f>
        <v>-157032195.47499996</v>
      </c>
      <c r="H101" s="363"/>
      <c r="I101" s="349" t="s">
        <v>129</v>
      </c>
      <c r="J101" s="350"/>
      <c r="K101" s="345"/>
      <c r="L101" s="363">
        <f>-'WS B ADIT &amp; ITC'!I36</f>
        <v>-19238005.539999992</v>
      </c>
      <c r="M101" s="345"/>
      <c r="N101" s="327"/>
    </row>
    <row r="102" spans="2:14">
      <c r="B102" s="354">
        <f t="shared" si="4"/>
        <v>51</v>
      </c>
      <c r="C102" s="406"/>
      <c r="D102" s="398" t="s">
        <v>196</v>
      </c>
      <c r="E102" s="345" t="s">
        <v>539</v>
      </c>
      <c r="F102" s="345"/>
      <c r="G102" s="363">
        <f>'WS B ADIT &amp; ITC'!I41</f>
        <v>216231191.61500001</v>
      </c>
      <c r="H102" s="363"/>
      <c r="I102" s="349" t="s">
        <v>129</v>
      </c>
      <c r="J102" s="350"/>
      <c r="K102" s="345"/>
      <c r="L102" s="363">
        <f>'WS B ADIT &amp; ITC'!I44</f>
        <v>44791681.555000037</v>
      </c>
      <c r="M102" s="345"/>
      <c r="N102" s="327"/>
    </row>
    <row r="103" spans="2:14" ht="15.75" thickBot="1">
      <c r="B103" s="354">
        <f t="shared" si="4"/>
        <v>52</v>
      </c>
      <c r="C103" s="406"/>
      <c r="D103" s="475" t="s">
        <v>134</v>
      </c>
      <c r="E103" s="345" t="s">
        <v>540</v>
      </c>
      <c r="F103" s="320"/>
      <c r="G103" s="399">
        <f>-'WS B ADIT &amp; ITC'!I51</f>
        <v>-410579</v>
      </c>
      <c r="H103" s="363"/>
      <c r="I103" s="349" t="s">
        <v>129</v>
      </c>
      <c r="J103" s="350"/>
      <c r="K103" s="345"/>
      <c r="L103" s="399">
        <f>-'WS B ADIT &amp; ITC'!I52</f>
        <v>-8620</v>
      </c>
      <c r="M103" s="414"/>
      <c r="N103" s="327"/>
    </row>
    <row r="104" spans="2:14">
      <c r="B104" s="354">
        <f t="shared" si="4"/>
        <v>53</v>
      </c>
      <c r="C104" s="406"/>
      <c r="D104" s="398" t="s">
        <v>92</v>
      </c>
      <c r="E104" s="398" t="str">
        <f>"(sum lns "&amp;B99&amp;" to "&amp;B103&amp;")"</f>
        <v>(sum lns 48 to 52)</v>
      </c>
      <c r="F104" s="345"/>
      <c r="G104" s="363">
        <f>SUM(G99:G103)</f>
        <v>-2242463525.04</v>
      </c>
      <c r="H104" s="577"/>
      <c r="I104" s="349"/>
      <c r="J104" s="416"/>
      <c r="K104" s="345"/>
      <c r="L104" s="363">
        <f>SUM(L99:L103)</f>
        <v>-575000492.08999991</v>
      </c>
      <c r="M104" s="345"/>
    </row>
    <row r="105" spans="2:14">
      <c r="B105" s="354"/>
      <c r="C105" s="355"/>
      <c r="D105" s="398"/>
      <c r="E105" s="345"/>
      <c r="F105" s="345"/>
      <c r="G105" s="363"/>
      <c r="H105" s="577"/>
      <c r="I105" s="349"/>
      <c r="J105" s="407"/>
      <c r="K105" s="345"/>
      <c r="L105" s="363"/>
      <c r="M105" s="345"/>
    </row>
    <row r="106" spans="2:14">
      <c r="B106" s="354">
        <f>+B104+1</f>
        <v>54</v>
      </c>
      <c r="C106" s="355"/>
      <c r="D106" s="398" t="s">
        <v>205</v>
      </c>
      <c r="E106" s="345" t="str">
        <f>"(Worksheet A ln "&amp;'WS A - RB Support'!A69&amp;"."&amp;'WS A - RB Support'!F68&amp;" &amp; "&amp;"ln "&amp;'WS A - RB Support'!A71&amp;"."&amp;'WS A - RB Support'!F68&amp;")"</f>
        <v>(Worksheet A ln 44.(e) &amp; ln 45.(e))</v>
      </c>
      <c r="F106" s="345"/>
      <c r="G106" s="363">
        <f>'WS A - RB Support'!F69</f>
        <v>4221522.9249999998</v>
      </c>
      <c r="H106" s="577"/>
      <c r="I106" s="349" t="s">
        <v>129</v>
      </c>
      <c r="J106" s="350"/>
      <c r="K106" s="345"/>
      <c r="L106" s="363">
        <f>'WS A - RB Support'!F71</f>
        <v>1627884.88</v>
      </c>
      <c r="M106" s="345"/>
    </row>
    <row r="107" spans="2:14">
      <c r="B107" s="354"/>
      <c r="C107" s="355"/>
      <c r="D107" s="398"/>
      <c r="E107" s="345"/>
      <c r="F107" s="345"/>
      <c r="G107" s="363"/>
      <c r="H107" s="577"/>
      <c r="I107" s="349"/>
      <c r="J107" s="350"/>
      <c r="K107" s="345"/>
      <c r="L107" s="363"/>
      <c r="M107" s="345"/>
    </row>
    <row r="108" spans="2:14">
      <c r="B108" s="354">
        <f>+B106+1</f>
        <v>55</v>
      </c>
      <c r="C108" s="355"/>
      <c r="D108" s="398" t="s">
        <v>327</v>
      </c>
      <c r="E108" s="345" t="str">
        <f>"(Worksheet A ln "&amp;'WS A - RB Support'!A80&amp;"."&amp;'WS A - RB Support'!F68&amp;")"</f>
        <v>(Worksheet A ln 51.(e))</v>
      </c>
      <c r="F108" s="345"/>
      <c r="G108" s="363">
        <f>'WS A - RB Support'!F80</f>
        <v>0</v>
      </c>
      <c r="H108" s="577"/>
      <c r="I108" s="349" t="s">
        <v>129</v>
      </c>
      <c r="J108" s="345"/>
      <c r="K108" s="345"/>
      <c r="L108" s="363">
        <f>+G108</f>
        <v>0</v>
      </c>
      <c r="M108" s="345"/>
    </row>
    <row r="109" spans="2:14">
      <c r="B109" s="354"/>
      <c r="C109" s="355"/>
      <c r="D109" s="398"/>
      <c r="E109" s="345"/>
      <c r="F109" s="345"/>
      <c r="G109" s="363"/>
      <c r="H109" s="577"/>
      <c r="I109" s="349"/>
      <c r="J109" s="345"/>
      <c r="K109" s="345"/>
      <c r="L109" s="363"/>
      <c r="M109" s="345"/>
    </row>
    <row r="110" spans="2:14" ht="14.25" customHeight="1">
      <c r="B110" s="354">
        <f>+B108+1</f>
        <v>56</v>
      </c>
      <c r="C110" s="406"/>
      <c r="D110" s="470" t="s">
        <v>746</v>
      </c>
      <c r="E110" s="345" t="str">
        <f>"(Worksheet A ln "&amp;'WS A - RB Support'!A88&amp;"."&amp;'WS A - RB Support'!F68&amp;")"</f>
        <v>(Worksheet A ln 54.(e))</v>
      </c>
      <c r="F110" s="345"/>
      <c r="G110" s="348">
        <f>-'WS A - RB Support'!F88</f>
        <v>-6321146.5499999998</v>
      </c>
      <c r="H110" s="363"/>
      <c r="I110" s="349" t="s">
        <v>132</v>
      </c>
      <c r="J110" s="350">
        <f>L241</f>
        <v>0.10558528374676276</v>
      </c>
      <c r="K110" s="345"/>
      <c r="L110" s="348">
        <f>G110*J110</f>
        <v>-667420.05208662048</v>
      </c>
      <c r="M110" s="345"/>
    </row>
    <row r="111" spans="2:14">
      <c r="B111" s="354"/>
      <c r="C111" s="355"/>
      <c r="D111" s="398"/>
      <c r="E111" s="345"/>
      <c r="F111" s="345"/>
      <c r="G111" s="363"/>
      <c r="H111" s="577"/>
      <c r="I111" s="349"/>
      <c r="J111" s="345"/>
      <c r="K111" s="345"/>
      <c r="L111" s="363"/>
      <c r="M111" s="345"/>
    </row>
    <row r="112" spans="2:14">
      <c r="B112" s="354">
        <f>+B110+1</f>
        <v>57</v>
      </c>
      <c r="C112" s="355"/>
      <c r="D112" s="398" t="s">
        <v>93</v>
      </c>
      <c r="E112" s="345" t="s">
        <v>498</v>
      </c>
      <c r="F112" s="345"/>
      <c r="G112" s="363"/>
      <c r="H112" s="577"/>
      <c r="I112" s="349"/>
      <c r="J112" s="345"/>
      <c r="K112" s="345"/>
      <c r="L112" s="363"/>
      <c r="M112" s="345"/>
    </row>
    <row r="113" spans="2:13">
      <c r="B113" s="354">
        <f t="shared" ref="B113:B120" si="5">+B112+1</f>
        <v>58</v>
      </c>
      <c r="C113" s="406"/>
      <c r="D113" s="398" t="s">
        <v>204</v>
      </c>
      <c r="E113" s="320" t="str">
        <f>"(1/8 * ln "&amp;B149&amp;")"</f>
        <v>(1/8 * ln 78)</v>
      </c>
      <c r="F113" s="320"/>
      <c r="G113" s="363">
        <f>+G149/8</f>
        <v>4844354.9399999985</v>
      </c>
      <c r="H113" s="345"/>
      <c r="I113" s="349"/>
      <c r="J113" s="407"/>
      <c r="K113" s="345"/>
      <c r="L113" s="363">
        <f>+L149/8</f>
        <v>4737036.3711285153</v>
      </c>
      <c r="M113" s="340"/>
    </row>
    <row r="114" spans="2:13">
      <c r="B114" s="354">
        <f t="shared" si="5"/>
        <v>59</v>
      </c>
      <c r="C114" s="406"/>
      <c r="D114" s="398" t="s">
        <v>335</v>
      </c>
      <c r="E114" s="345" t="s">
        <v>541</v>
      </c>
      <c r="F114" s="345"/>
      <c r="G114" s="363">
        <f>'WS C  - Working Capital'!I17</f>
        <v>59608.5</v>
      </c>
      <c r="H114" s="577"/>
      <c r="I114" s="349" t="s">
        <v>120</v>
      </c>
      <c r="J114" s="350">
        <f>L231</f>
        <v>0.97784667510934209</v>
      </c>
      <c r="K114" s="345"/>
      <c r="L114" s="363">
        <f>+J114*G114</f>
        <v>58287.973533255215</v>
      </c>
      <c r="M114" s="345"/>
    </row>
    <row r="115" spans="2:13">
      <c r="B115" s="354">
        <f t="shared" si="5"/>
        <v>60</v>
      </c>
      <c r="C115" s="406"/>
      <c r="D115" s="398" t="s">
        <v>336</v>
      </c>
      <c r="E115" s="345" t="s">
        <v>542</v>
      </c>
      <c r="F115" s="345"/>
      <c r="G115" s="363">
        <f>'WS C  - Working Capital'!I19</f>
        <v>282824</v>
      </c>
      <c r="H115" s="577"/>
      <c r="I115" s="349" t="s">
        <v>132</v>
      </c>
      <c r="J115" s="350">
        <f>L241</f>
        <v>0.10558528374676276</v>
      </c>
      <c r="K115" s="345"/>
      <c r="L115" s="363">
        <f>+J115*G115</f>
        <v>29862.052290394433</v>
      </c>
      <c r="M115" s="345"/>
    </row>
    <row r="116" spans="2:13">
      <c r="B116" s="354">
        <f t="shared" si="5"/>
        <v>61</v>
      </c>
      <c r="C116" s="406"/>
      <c r="D116" s="398" t="s">
        <v>529</v>
      </c>
      <c r="E116" s="345" t="s">
        <v>543</v>
      </c>
      <c r="F116" s="345"/>
      <c r="G116" s="363">
        <f>'WS C  - Working Capital'!I21</f>
        <v>0</v>
      </c>
      <c r="H116" s="577"/>
      <c r="I116" s="349" t="s">
        <v>757</v>
      </c>
      <c r="J116" s="350">
        <f>J75</f>
        <v>0.24519012692060513</v>
      </c>
      <c r="K116" s="345"/>
      <c r="L116" s="363">
        <f>+J116*G116</f>
        <v>0</v>
      </c>
      <c r="M116" s="345"/>
    </row>
    <row r="117" spans="2:13">
      <c r="B117" s="354">
        <f t="shared" si="5"/>
        <v>62</v>
      </c>
      <c r="C117" s="406"/>
      <c r="D117" s="398" t="s">
        <v>208</v>
      </c>
      <c r="E117" s="345" t="s">
        <v>572</v>
      </c>
      <c r="F117" s="345"/>
      <c r="G117" s="363">
        <f>'WS C  - Working Capital'!J31</f>
        <v>241656430.94999999</v>
      </c>
      <c r="H117" s="577"/>
      <c r="I117" s="349" t="s">
        <v>132</v>
      </c>
      <c r="J117" s="350">
        <f>L241</f>
        <v>0.10558528374676276</v>
      </c>
      <c r="K117" s="345"/>
      <c r="L117" s="363">
        <f>+J117*G117</f>
        <v>25515362.83108573</v>
      </c>
      <c r="M117" s="345"/>
    </row>
    <row r="118" spans="2:13">
      <c r="B118" s="354">
        <f t="shared" si="5"/>
        <v>63</v>
      </c>
      <c r="C118" s="406"/>
      <c r="D118" s="398" t="s">
        <v>209</v>
      </c>
      <c r="E118" s="345" t="s">
        <v>571</v>
      </c>
      <c r="F118" s="345"/>
      <c r="G118" s="363">
        <f>'WS C  - Working Capital'!I31</f>
        <v>5117631.7250000006</v>
      </c>
      <c r="H118" s="577"/>
      <c r="I118" s="349" t="s">
        <v>757</v>
      </c>
      <c r="J118" s="350">
        <f>J75</f>
        <v>0.24519012692060513</v>
      </c>
      <c r="K118" s="345"/>
      <c r="L118" s="363">
        <f>+G118*J118</f>
        <v>1254792.7721856656</v>
      </c>
      <c r="M118" s="345"/>
    </row>
    <row r="119" spans="2:13">
      <c r="B119" s="354">
        <f t="shared" si="5"/>
        <v>64</v>
      </c>
      <c r="C119" s="406"/>
      <c r="D119" s="398" t="s">
        <v>305</v>
      </c>
      <c r="E119" s="345" t="s">
        <v>573</v>
      </c>
      <c r="F119" s="345"/>
      <c r="G119" s="363">
        <f>'WS C  - Working Capital'!G31</f>
        <v>0</v>
      </c>
      <c r="H119" s="577"/>
      <c r="I119" s="349" t="s">
        <v>129</v>
      </c>
      <c r="J119" s="350">
        <v>1</v>
      </c>
      <c r="K119" s="345"/>
      <c r="L119" s="363">
        <f>+G119*J119</f>
        <v>0</v>
      </c>
      <c r="M119" s="345"/>
    </row>
    <row r="120" spans="2:13" ht="15.75" thickBot="1">
      <c r="B120" s="354">
        <f t="shared" si="5"/>
        <v>65</v>
      </c>
      <c r="C120" s="406"/>
      <c r="D120" s="398" t="s">
        <v>105</v>
      </c>
      <c r="E120" s="345" t="s">
        <v>574</v>
      </c>
      <c r="F120" s="345"/>
      <c r="G120" s="399">
        <f>'WS C  - Working Capital'!E31</f>
        <v>-239051578.48500001</v>
      </c>
      <c r="H120" s="363"/>
      <c r="I120" s="349" t="s">
        <v>127</v>
      </c>
      <c r="J120" s="350">
        <v>0</v>
      </c>
      <c r="K120" s="345"/>
      <c r="L120" s="399">
        <f>+G120*J120</f>
        <v>0</v>
      </c>
      <c r="M120" s="345"/>
    </row>
    <row r="121" spans="2:13">
      <c r="B121" s="354">
        <f>+B120+1</f>
        <v>66</v>
      </c>
      <c r="C121" s="406"/>
      <c r="D121" s="398" t="s">
        <v>44</v>
      </c>
      <c r="E121" s="398" t="str">
        <f>"(sum lns "&amp;B113&amp;" to "&amp;B120&amp;")"</f>
        <v>(sum lns 58 to 65)</v>
      </c>
      <c r="F121" s="340"/>
      <c r="G121" s="363">
        <f>SUM(G113:G120)</f>
        <v>12909271.629999965</v>
      </c>
      <c r="H121" s="340"/>
      <c r="I121" s="355"/>
      <c r="J121" s="340"/>
      <c r="K121" s="340"/>
      <c r="L121" s="363">
        <f>SUM(L113:L120)</f>
        <v>31595342.000223558</v>
      </c>
      <c r="M121" s="340"/>
    </row>
    <row r="122" spans="2:13">
      <c r="B122" s="354"/>
      <c r="C122" s="355"/>
      <c r="D122" s="398"/>
      <c r="E122" s="340"/>
      <c r="F122" s="340"/>
      <c r="G122" s="363"/>
      <c r="H122" s="340"/>
      <c r="I122" s="355"/>
      <c r="J122" s="340"/>
      <c r="K122" s="340"/>
      <c r="L122" s="363"/>
      <c r="M122" s="340"/>
    </row>
    <row r="123" spans="2:13">
      <c r="B123" s="354">
        <f>+B121+1</f>
        <v>67</v>
      </c>
      <c r="C123" s="355"/>
      <c r="D123" s="398" t="s">
        <v>31</v>
      </c>
      <c r="E123" s="366" t="s">
        <v>544</v>
      </c>
      <c r="F123" s="340"/>
      <c r="G123" s="363">
        <f>'WS D IPP Credits'!C23</f>
        <v>-3266239.5</v>
      </c>
      <c r="H123" s="340"/>
      <c r="I123" s="467" t="s">
        <v>129</v>
      </c>
      <c r="J123" s="350">
        <v>1</v>
      </c>
      <c r="K123" s="345"/>
      <c r="L123" s="363">
        <f>+J123*G123</f>
        <v>-3266239.5</v>
      </c>
      <c r="M123" s="340"/>
    </row>
    <row r="124" spans="2:13" ht="15.75" thickBot="1">
      <c r="B124" s="354"/>
      <c r="C124" s="320"/>
      <c r="D124" s="475"/>
      <c r="E124" s="345"/>
      <c r="F124" s="345"/>
      <c r="G124" s="399"/>
      <c r="H124" s="345"/>
      <c r="I124" s="349"/>
      <c r="J124" s="345"/>
      <c r="K124" s="345"/>
      <c r="L124" s="399"/>
      <c r="M124" s="345"/>
    </row>
    <row r="125" spans="2:13" ht="15.75" thickBot="1">
      <c r="B125" s="354">
        <f>+B123+1</f>
        <v>68</v>
      </c>
      <c r="C125" s="355"/>
      <c r="D125" s="366" t="str">
        <f>"RATE BASE  (sum lns "&amp;B95&amp;", "&amp;B104&amp;", "&amp;B106&amp;", "&amp;B108&amp;", "&amp;B110&amp;", "&amp;B121&amp;", "&amp;B123&amp;")"</f>
        <v>RATE BASE  (sum lns 46, 53, 54, 55, 56, 66, 67)</v>
      </c>
      <c r="E125" s="345"/>
      <c r="F125" s="345"/>
      <c r="G125" s="1110">
        <f>+G121+G106+G104+G95+G123+G108+G110</f>
        <v>7663225548.0996122</v>
      </c>
      <c r="H125" s="345"/>
      <c r="I125" s="345"/>
      <c r="J125" s="407"/>
      <c r="K125" s="345"/>
      <c r="L125" s="1110">
        <f>+L121+L106+L104+L95+L123+L108+L110</f>
        <v>2405827924.2909727</v>
      </c>
      <c r="M125" s="345"/>
    </row>
    <row r="126" spans="2:13" ht="16.5" thickTop="1">
      <c r="B126" s="329"/>
      <c r="C126" s="370"/>
      <c r="D126" s="370"/>
      <c r="E126" s="370"/>
      <c r="F126" s="370"/>
      <c r="G126" s="370"/>
      <c r="H126" s="370"/>
      <c r="I126" s="319"/>
      <c r="J126" s="319"/>
      <c r="K126" s="319"/>
      <c r="L126" s="1075"/>
      <c r="M126" s="320"/>
    </row>
    <row r="127" spans="2:13">
      <c r="B127" s="420"/>
      <c r="C127" s="330"/>
      <c r="D127" s="321"/>
      <c r="E127" s="327"/>
      <c r="F127" s="327"/>
      <c r="G127" s="327"/>
      <c r="H127" s="327"/>
      <c r="I127" s="327"/>
      <c r="J127" s="327"/>
      <c r="K127" s="327"/>
      <c r="L127" s="327"/>
      <c r="M127" s="345"/>
    </row>
    <row r="128" spans="2:13">
      <c r="B128" s="420"/>
      <c r="C128" s="330"/>
      <c r="D128" s="321"/>
      <c r="E128" s="327"/>
      <c r="F128" s="358" t="str">
        <f>F54</f>
        <v xml:space="preserve">AEP East Companies </v>
      </c>
      <c r="G128" s="358"/>
      <c r="H128" s="327"/>
      <c r="I128" s="327"/>
      <c r="J128" s="327"/>
      <c r="K128" s="327"/>
      <c r="L128" s="327"/>
      <c r="M128" s="421"/>
    </row>
    <row r="129" spans="2:14">
      <c r="B129" s="420"/>
      <c r="C129" s="330"/>
      <c r="D129" s="321"/>
      <c r="E129" s="327"/>
      <c r="F129" s="358" t="str">
        <f>F55</f>
        <v>Transmission Cost of Service Formula Rate</v>
      </c>
      <c r="G129" s="358"/>
      <c r="H129" s="327"/>
      <c r="I129" s="327"/>
      <c r="J129" s="327"/>
      <c r="K129" s="327"/>
      <c r="L129" s="327"/>
      <c r="M129" s="421"/>
    </row>
    <row r="130" spans="2:14">
      <c r="B130" s="420"/>
      <c r="C130" s="330"/>
      <c r="E130" s="327"/>
      <c r="F130" s="358" t="str">
        <f>F56</f>
        <v>Utilizing  Actual/Projected FERC Form 1 Data</v>
      </c>
      <c r="G130" s="327"/>
      <c r="H130" s="327"/>
      <c r="I130" s="327"/>
      <c r="J130" s="327"/>
      <c r="K130" s="327"/>
      <c r="L130" s="327"/>
      <c r="M130" s="380"/>
    </row>
    <row r="131" spans="2:14">
      <c r="B131" s="420"/>
      <c r="C131" s="330"/>
      <c r="E131" s="327"/>
      <c r="F131" s="358"/>
      <c r="G131" s="327"/>
      <c r="H131" s="327"/>
      <c r="I131" s="327"/>
      <c r="J131" s="327"/>
      <c r="K131" s="327"/>
      <c r="L131" s="327"/>
      <c r="M131" s="345"/>
    </row>
    <row r="132" spans="2:14">
      <c r="B132" s="420"/>
      <c r="C132" s="330"/>
      <c r="E132" s="422"/>
      <c r="F132" s="358" t="str">
        <f>F58</f>
        <v>Appalachian Power Company</v>
      </c>
      <c r="G132" s="422"/>
      <c r="H132" s="423"/>
      <c r="I132" s="422"/>
      <c r="J132" s="422"/>
      <c r="K132" s="422"/>
      <c r="M132" s="345"/>
    </row>
    <row r="133" spans="2:14">
      <c r="B133" s="420"/>
      <c r="C133" s="330"/>
      <c r="E133" s="422"/>
      <c r="F133" s="358"/>
      <c r="G133" s="422"/>
      <c r="H133" s="423"/>
      <c r="I133" s="422"/>
      <c r="J133" s="422"/>
      <c r="K133" s="422"/>
      <c r="M133" s="345"/>
    </row>
    <row r="134" spans="2:14">
      <c r="B134" s="420"/>
      <c r="D134" s="330" t="s">
        <v>121</v>
      </c>
      <c r="E134" s="330" t="s">
        <v>122</v>
      </c>
      <c r="F134" s="330"/>
      <c r="G134" s="330" t="s">
        <v>123</v>
      </c>
      <c r="H134" s="345"/>
      <c r="I134" s="1471" t="s">
        <v>124</v>
      </c>
      <c r="J134" s="1475"/>
      <c r="K134" s="327"/>
      <c r="L134" s="331" t="s">
        <v>125</v>
      </c>
      <c r="M134" s="345"/>
    </row>
    <row r="135" spans="2:14" ht="15.75">
      <c r="B135" s="420"/>
      <c r="D135" s="330"/>
      <c r="E135" s="330"/>
      <c r="F135" s="330"/>
      <c r="G135" s="330"/>
      <c r="H135" s="345"/>
      <c r="I135" s="327"/>
      <c r="J135" s="382"/>
      <c r="K135" s="327"/>
      <c r="M135" s="345"/>
      <c r="N135" s="425"/>
    </row>
    <row r="136" spans="2:14" ht="15.75">
      <c r="B136" s="420"/>
      <c r="C136" s="330"/>
      <c r="D136" s="426" t="s">
        <v>101</v>
      </c>
      <c r="E136" s="384" t="str">
        <f>E62</f>
        <v>Data Sources</v>
      </c>
      <c r="F136" s="385"/>
      <c r="G136" s="327"/>
      <c r="H136" s="345"/>
      <c r="I136" s="327"/>
      <c r="J136" s="330"/>
      <c r="K136" s="327"/>
      <c r="L136" s="384" t="str">
        <f>L62</f>
        <v>Total</v>
      </c>
      <c r="M136" s="320"/>
      <c r="N136" s="425"/>
    </row>
    <row r="137" spans="2:14" ht="15.75">
      <c r="B137" s="420"/>
      <c r="C137" s="337"/>
      <c r="D137" s="387" t="s">
        <v>102</v>
      </c>
      <c r="E137" s="427" t="str">
        <f>E63</f>
        <v>(See "General Notes")</v>
      </c>
      <c r="F137" s="327"/>
      <c r="G137" s="427" t="str">
        <f>G63</f>
        <v>TO Total</v>
      </c>
      <c r="H137" s="428"/>
      <c r="I137" s="1473" t="str">
        <f>I63</f>
        <v>Allocator</v>
      </c>
      <c r="J137" s="1474"/>
      <c r="K137" s="389"/>
      <c r="L137" s="427" t="str">
        <f>L63</f>
        <v>Transmission</v>
      </c>
      <c r="M137" s="345"/>
      <c r="N137" s="425"/>
    </row>
    <row r="138" spans="2:14" ht="15.75">
      <c r="B138" s="329" t="str">
        <f>B64</f>
        <v>Line</v>
      </c>
      <c r="D138" s="321"/>
      <c r="E138" s="327"/>
      <c r="F138" s="327"/>
      <c r="G138" s="387"/>
      <c r="H138" s="429"/>
      <c r="I138" s="426"/>
      <c r="K138" s="430"/>
      <c r="L138" s="387"/>
      <c r="M138" s="345"/>
    </row>
    <row r="139" spans="2:14">
      <c r="B139" s="329" t="str">
        <f>B65</f>
        <v>No.</v>
      </c>
      <c r="C139" s="330"/>
      <c r="D139" s="321" t="s">
        <v>103</v>
      </c>
      <c r="E139" s="327"/>
      <c r="F139" s="327"/>
      <c r="G139" s="327"/>
      <c r="H139" s="345"/>
      <c r="I139" s="358"/>
      <c r="J139" s="327"/>
      <c r="K139" s="327"/>
      <c r="L139" s="327"/>
      <c r="M139" s="345"/>
    </row>
    <row r="140" spans="2:14">
      <c r="B140" s="329">
        <f>+B125+1</f>
        <v>69</v>
      </c>
      <c r="C140" s="330"/>
      <c r="D140" s="321" t="s">
        <v>126</v>
      </c>
      <c r="E140" s="327" t="s">
        <v>10</v>
      </c>
      <c r="F140" s="327"/>
      <c r="G140" s="839">
        <v>1063897430</v>
      </c>
      <c r="H140" s="345"/>
      <c r="I140" s="358"/>
      <c r="J140" s="350"/>
      <c r="K140" s="327"/>
      <c r="L140" s="363"/>
      <c r="M140" s="345"/>
    </row>
    <row r="141" spans="2:14">
      <c r="B141" s="329">
        <f>+B140+1</f>
        <v>70</v>
      </c>
      <c r="C141" s="330"/>
      <c r="D141" s="366" t="s">
        <v>130</v>
      </c>
      <c r="E141" s="327" t="s">
        <v>11</v>
      </c>
      <c r="F141" s="345"/>
      <c r="G141" s="839">
        <v>138571504</v>
      </c>
      <c r="H141" s="345"/>
      <c r="I141" s="358"/>
      <c r="J141" s="350"/>
      <c r="K141" s="327"/>
      <c r="L141" s="363"/>
      <c r="M141" s="345"/>
    </row>
    <row r="142" spans="2:14">
      <c r="B142" s="329">
        <f t="shared" ref="B142:B147" si="6">+B141+1</f>
        <v>71</v>
      </c>
      <c r="C142" s="330"/>
      <c r="D142" s="366" t="s">
        <v>246</v>
      </c>
      <c r="E142" s="327" t="s">
        <v>202</v>
      </c>
      <c r="F142" s="345"/>
      <c r="G142" s="839">
        <f>31713733+16143025+279812</f>
        <v>48136570</v>
      </c>
      <c r="H142" s="345"/>
      <c r="I142" s="349"/>
      <c r="J142" s="350"/>
      <c r="K142" s="345"/>
      <c r="L142" s="363"/>
      <c r="M142" s="345"/>
    </row>
    <row r="143" spans="2:14">
      <c r="B143" s="329">
        <f t="shared" si="6"/>
        <v>72</v>
      </c>
      <c r="C143" s="330"/>
      <c r="D143" s="366" t="s">
        <v>247</v>
      </c>
      <c r="E143" s="327" t="s">
        <v>417</v>
      </c>
      <c r="F143" s="345"/>
      <c r="G143" s="839">
        <v>5580830</v>
      </c>
      <c r="H143" s="345"/>
      <c r="I143" s="349"/>
      <c r="J143" s="350"/>
      <c r="K143" s="345"/>
      <c r="L143" s="363"/>
      <c r="M143" s="345"/>
    </row>
    <row r="144" spans="2:14" ht="15.75" thickBot="1">
      <c r="B144" s="329">
        <f t="shared" si="6"/>
        <v>73</v>
      </c>
      <c r="C144" s="330"/>
      <c r="D144" s="366" t="s">
        <v>135</v>
      </c>
      <c r="E144" s="327" t="s">
        <v>416</v>
      </c>
      <c r="F144" s="345"/>
      <c r="G144" s="840">
        <v>256813551</v>
      </c>
      <c r="H144" s="363"/>
      <c r="I144" s="370"/>
      <c r="J144" s="370"/>
      <c r="K144" s="332"/>
      <c r="L144" s="332"/>
      <c r="M144" s="340"/>
      <c r="N144" s="327"/>
    </row>
    <row r="145" spans="2:14">
      <c r="B145" s="329">
        <f t="shared" si="6"/>
        <v>74</v>
      </c>
      <c r="C145" s="330"/>
      <c r="D145" s="366" t="s">
        <v>248</v>
      </c>
      <c r="E145" s="345" t="str">
        <f>"(sum lns "&amp;B140&amp;"  to "&amp;B144&amp;")"</f>
        <v>(sum lns 69  to 73)</v>
      </c>
      <c r="F145" s="345"/>
      <c r="G145" s="363">
        <f>SUM(G140:G144)</f>
        <v>1512999885</v>
      </c>
      <c r="H145" s="363"/>
      <c r="I145" s="370"/>
      <c r="J145" s="370"/>
      <c r="K145" s="332"/>
      <c r="L145" s="332"/>
      <c r="M145" s="340"/>
      <c r="N145" s="327"/>
    </row>
    <row r="146" spans="2:14">
      <c r="B146" s="329">
        <f t="shared" si="6"/>
        <v>75</v>
      </c>
      <c r="C146" s="330"/>
      <c r="D146" s="366" t="s">
        <v>328</v>
      </c>
      <c r="E146" s="345" t="str">
        <f>"(Note G) (Worksheet F, ln "&amp;'WS F Misc Exp'!A33&amp;".C)"</f>
        <v>(Note G) (Worksheet F, ln 14.C)</v>
      </c>
      <c r="F146" s="345"/>
      <c r="G146" s="363">
        <f>'WS F Misc Exp'!D33</f>
        <v>10502228.300000001</v>
      </c>
      <c r="H146" s="363"/>
      <c r="I146" s="370"/>
      <c r="J146" s="370"/>
      <c r="K146" s="332"/>
      <c r="L146" s="332"/>
      <c r="M146" s="340"/>
      <c r="N146" s="327"/>
    </row>
    <row r="147" spans="2:14">
      <c r="B147" s="329">
        <f t="shared" si="6"/>
        <v>76</v>
      </c>
      <c r="C147" s="330"/>
      <c r="D147" s="366" t="s">
        <v>23</v>
      </c>
      <c r="E147" s="345" t="s">
        <v>100</v>
      </c>
      <c r="F147" s="345"/>
      <c r="G147" s="839">
        <v>254463359</v>
      </c>
      <c r="H147" s="363"/>
      <c r="I147" s="370"/>
      <c r="J147" s="370"/>
      <c r="K147" s="332"/>
      <c r="L147" s="332"/>
      <c r="M147" s="340"/>
      <c r="N147" s="327"/>
    </row>
    <row r="148" spans="2:14" ht="15.75" thickBot="1">
      <c r="B148" s="329">
        <f>+B147+1</f>
        <v>77</v>
      </c>
      <c r="C148" s="355"/>
      <c r="D148" s="366" t="s">
        <v>332</v>
      </c>
      <c r="E148" s="345" t="s">
        <v>480</v>
      </c>
      <c r="F148" s="345"/>
      <c r="G148" s="399">
        <f>+'WS F Misc Exp'!D21</f>
        <v>-46906875.82</v>
      </c>
      <c r="H148" s="363"/>
      <c r="I148" s="415"/>
      <c r="J148" s="415"/>
      <c r="K148" s="332"/>
      <c r="L148" s="332"/>
      <c r="M148" s="340"/>
      <c r="N148" s="327"/>
    </row>
    <row r="149" spans="2:14">
      <c r="B149" s="329">
        <f>+B148+1</f>
        <v>78</v>
      </c>
      <c r="C149" s="330"/>
      <c r="D149" s="366" t="s">
        <v>384</v>
      </c>
      <c r="E149" s="327" t="str">
        <f>"(lns "&amp;B144&amp;" - "&amp;B146&amp;" - "&amp;B147&amp;" - "&amp;B148&amp;")"</f>
        <v>(lns 73 - 75 - 76 - 77)</v>
      </c>
      <c r="F149" s="366"/>
      <c r="G149" s="363">
        <f>G144-G146-G147-G148</f>
        <v>38754839.519999988</v>
      </c>
      <c r="H149" s="345"/>
      <c r="I149" s="358" t="s">
        <v>120</v>
      </c>
      <c r="J149" s="350">
        <f>L231</f>
        <v>0.97784667510934209</v>
      </c>
      <c r="K149" s="345"/>
      <c r="L149" s="363">
        <f>+J149*G149</f>
        <v>37896290.969028123</v>
      </c>
      <c r="M149" s="340"/>
      <c r="N149" s="327"/>
    </row>
    <row r="150" spans="2:14">
      <c r="B150" s="329"/>
      <c r="C150" s="330"/>
      <c r="D150" s="366"/>
      <c r="E150" s="345"/>
      <c r="F150" s="345"/>
      <c r="G150" s="431"/>
      <c r="H150" s="363"/>
      <c r="I150" s="370"/>
      <c r="J150" s="370"/>
      <c r="K150" s="332"/>
      <c r="L150" s="332"/>
      <c r="M150" s="340"/>
      <c r="N150" s="327"/>
    </row>
    <row r="151" spans="2:14">
      <c r="B151" s="329">
        <f>+B149+1</f>
        <v>79</v>
      </c>
      <c r="C151" s="330"/>
      <c r="D151" s="321" t="s">
        <v>104</v>
      </c>
      <c r="E151" s="345" t="s">
        <v>748</v>
      </c>
      <c r="F151" s="345"/>
      <c r="G151" s="839">
        <v>93620773</v>
      </c>
      <c r="H151" s="363"/>
      <c r="I151" s="410"/>
      <c r="J151" s="410"/>
      <c r="K151" s="327"/>
      <c r="L151" s="409"/>
      <c r="M151" s="345"/>
      <c r="N151" s="327"/>
    </row>
    <row r="152" spans="2:14">
      <c r="B152" s="329">
        <f t="shared" ref="B152:B165" si="7">+B151+1</f>
        <v>80</v>
      </c>
      <c r="C152" s="330"/>
      <c r="D152" s="366" t="s">
        <v>330</v>
      </c>
      <c r="E152" s="327" t="s">
        <v>418</v>
      </c>
      <c r="F152" s="327"/>
      <c r="G152" s="839">
        <v>4902652</v>
      </c>
      <c r="H152" s="363"/>
      <c r="I152" s="410"/>
      <c r="J152" s="321"/>
      <c r="K152" s="327"/>
      <c r="L152" s="409"/>
      <c r="M152" s="413"/>
      <c r="N152" s="327"/>
    </row>
    <row r="153" spans="2:14">
      <c r="B153" s="329">
        <f t="shared" si="7"/>
        <v>81</v>
      </c>
      <c r="C153" s="330"/>
      <c r="D153" s="1238" t="s">
        <v>857</v>
      </c>
      <c r="E153" s="345" t="str">
        <f>"PBOP Worksheet O Line "&amp;'WS O - PBOP'!A37&amp;" &amp; "&amp;'WS O - PBOP'!A39&amp;", (Note K)"</f>
        <v>PBOP Worksheet O Line 9 &amp; 10, (Note K)</v>
      </c>
      <c r="F153" s="327"/>
      <c r="G153" s="1239">
        <f>'WS O - PBOP'!D37+'WS O - PBOP'!D39</f>
        <v>-16410697.794000003</v>
      </c>
      <c r="H153" s="363"/>
      <c r="I153" s="410"/>
      <c r="J153" s="321"/>
      <c r="K153" s="327"/>
      <c r="L153" s="409"/>
      <c r="M153" s="413"/>
      <c r="N153" s="327"/>
    </row>
    <row r="154" spans="2:14">
      <c r="B154" s="329">
        <f t="shared" si="7"/>
        <v>82</v>
      </c>
      <c r="C154" s="330"/>
      <c r="D154" s="366" t="s">
        <v>858</v>
      </c>
      <c r="E154" s="345" t="str">
        <f>"PBOP Worksheet O  Line "&amp;'WS O - PBOP'!A41&amp;", (Note K)"</f>
        <v>PBOP Worksheet O  Line 11, (Note K)</v>
      </c>
      <c r="F154" s="327"/>
      <c r="G154" s="1239">
        <f>'WS O - PBOP'!D41</f>
        <v>0</v>
      </c>
      <c r="H154" s="363"/>
      <c r="I154" s="410"/>
      <c r="J154" s="321"/>
      <c r="K154" s="327"/>
      <c r="L154" s="409"/>
      <c r="M154" s="413"/>
      <c r="N154" s="327"/>
    </row>
    <row r="155" spans="2:14">
      <c r="B155" s="329">
        <f t="shared" si="7"/>
        <v>83</v>
      </c>
      <c r="C155" s="330"/>
      <c r="D155" s="366" t="s">
        <v>859</v>
      </c>
      <c r="E155" s="345" t="str">
        <f>"PBOP Worksheet O Line "&amp;'WS O - PBOP'!A45&amp;", (Note K)"</f>
        <v>PBOP Worksheet O Line 13, (Note K)</v>
      </c>
      <c r="F155" s="327"/>
      <c r="G155" s="1239">
        <f>'WS O - PBOP'!D45</f>
        <v>-5243609.6734757051</v>
      </c>
      <c r="H155" s="363"/>
      <c r="I155" s="410"/>
      <c r="J155" s="321"/>
      <c r="K155" s="327"/>
      <c r="L155" s="409"/>
      <c r="M155" s="413"/>
      <c r="N155" s="327"/>
    </row>
    <row r="156" spans="2:14">
      <c r="B156" s="329">
        <f t="shared" si="7"/>
        <v>84</v>
      </c>
      <c r="C156" s="330"/>
      <c r="D156" s="321" t="s">
        <v>329</v>
      </c>
      <c r="E156" s="327" t="s">
        <v>96</v>
      </c>
      <c r="F156" s="345"/>
      <c r="G156" s="839">
        <v>6065976</v>
      </c>
      <c r="H156" s="363"/>
      <c r="I156" s="410"/>
      <c r="J156" s="432"/>
      <c r="K156" s="327"/>
      <c r="L156" s="409"/>
      <c r="M156" s="345"/>
      <c r="N156" s="327"/>
    </row>
    <row r="157" spans="2:14">
      <c r="B157" s="329">
        <f t="shared" si="7"/>
        <v>85</v>
      </c>
      <c r="C157" s="330"/>
      <c r="D157" s="366" t="s">
        <v>107</v>
      </c>
      <c r="E157" s="327" t="s">
        <v>97</v>
      </c>
      <c r="F157" s="345"/>
      <c r="G157" s="839">
        <v>340179</v>
      </c>
      <c r="H157" s="363"/>
      <c r="I157" s="410"/>
      <c r="J157" s="410"/>
      <c r="K157" s="327"/>
      <c r="L157" s="409"/>
      <c r="M157" s="345"/>
      <c r="N157" s="327"/>
    </row>
    <row r="158" spans="2:14" ht="15.75" thickBot="1">
      <c r="B158" s="329">
        <f t="shared" si="7"/>
        <v>86</v>
      </c>
      <c r="C158" s="330"/>
      <c r="D158" s="366" t="s">
        <v>331</v>
      </c>
      <c r="E158" s="327" t="s">
        <v>98</v>
      </c>
      <c r="F158" s="345"/>
      <c r="G158" s="840">
        <v>6591353</v>
      </c>
      <c r="H158" s="363"/>
      <c r="I158" s="410"/>
      <c r="J158" s="410"/>
      <c r="K158" s="327"/>
      <c r="L158" s="409"/>
      <c r="M158" s="345"/>
      <c r="N158" s="327"/>
    </row>
    <row r="159" spans="2:14">
      <c r="B159" s="329">
        <f t="shared" si="7"/>
        <v>87</v>
      </c>
      <c r="C159" s="330"/>
      <c r="D159" s="321" t="s">
        <v>108</v>
      </c>
      <c r="E159" s="345" t="str">
        <f>"(ln "&amp;B151&amp;" - sum ln "&amp;B152&amp;"  to ln "&amp;B158&amp;")"</f>
        <v>(ln 79 - sum ln 80  to ln 86)</v>
      </c>
      <c r="F159" s="345"/>
      <c r="G159" s="363">
        <f>G151-SUM(G152:G158)</f>
        <v>97374920.467475712</v>
      </c>
      <c r="H159" s="363"/>
      <c r="I159" s="358" t="s">
        <v>132</v>
      </c>
      <c r="J159" s="350">
        <f>L241</f>
        <v>0.10558528374676276</v>
      </c>
      <c r="K159" s="327"/>
      <c r="L159" s="409">
        <f>+J159*G159</f>
        <v>10281358.607376881</v>
      </c>
      <c r="M159" s="345"/>
      <c r="N159" s="327"/>
    </row>
    <row r="160" spans="2:14">
      <c r="B160" s="329">
        <f t="shared" si="7"/>
        <v>88</v>
      </c>
      <c r="C160" s="355"/>
      <c r="D160" s="366" t="s">
        <v>197</v>
      </c>
      <c r="E160" s="345" t="str">
        <f>"(ln "&amp;B152&amp;")"</f>
        <v>(ln 80)</v>
      </c>
      <c r="F160" s="345"/>
      <c r="G160" s="363">
        <f>+G152</f>
        <v>4902652</v>
      </c>
      <c r="H160" s="363"/>
      <c r="I160" s="358" t="s">
        <v>757</v>
      </c>
      <c r="J160" s="350">
        <f>J75</f>
        <v>0.24519012692060513</v>
      </c>
      <c r="K160" s="345"/>
      <c r="L160" s="363">
        <f>+J160*G160</f>
        <v>1202081.8661275585</v>
      </c>
      <c r="M160" s="345"/>
      <c r="N160" s="327"/>
    </row>
    <row r="161" spans="2:14">
      <c r="B161" s="329">
        <f t="shared" si="7"/>
        <v>89</v>
      </c>
      <c r="C161" s="330"/>
      <c r="D161" s="366" t="s">
        <v>230</v>
      </c>
      <c r="E161" s="345" t="str">
        <f>"Worksheet F ln "&amp;'WS F Misc Exp'!A41&amp;".(E) (Note L)"</f>
        <v>Worksheet F ln 20.(E) (Note L)</v>
      </c>
      <c r="F161" s="345"/>
      <c r="G161" s="363">
        <f>+'WS F Misc Exp'!F41</f>
        <v>111668.76000000001</v>
      </c>
      <c r="H161" s="363"/>
      <c r="I161" s="358" t="s">
        <v>120</v>
      </c>
      <c r="J161" s="350">
        <f>L231</f>
        <v>0.97784667510934209</v>
      </c>
      <c r="K161" s="327"/>
      <c r="L161" s="409">
        <f>J161*G161</f>
        <v>109194.9256795831</v>
      </c>
      <c r="M161" s="345"/>
      <c r="N161" s="327"/>
    </row>
    <row r="162" spans="2:14">
      <c r="B162" s="329">
        <f t="shared" si="7"/>
        <v>90</v>
      </c>
      <c r="C162" s="330"/>
      <c r="D162" s="366" t="s">
        <v>240</v>
      </c>
      <c r="E162" s="345" t="str">
        <f>"Worksheet F ln "&amp;'WS F Misc Exp'!A61&amp;".(E) (Note L)"</f>
        <v>Worksheet F ln 37.(E) (Note L)</v>
      </c>
      <c r="F162" s="345"/>
      <c r="G162" s="348">
        <f>+'WS F Misc Exp'!F61</f>
        <v>0</v>
      </c>
      <c r="H162" s="345"/>
      <c r="I162" s="349" t="s">
        <v>120</v>
      </c>
      <c r="J162" s="350">
        <f>L231</f>
        <v>0.97784667510934209</v>
      </c>
      <c r="K162" s="327"/>
      <c r="L162" s="409">
        <f>+J162*G162</f>
        <v>0</v>
      </c>
      <c r="M162" s="345"/>
      <c r="N162" s="327"/>
    </row>
    <row r="163" spans="2:14">
      <c r="B163" s="329">
        <f t="shared" si="7"/>
        <v>91</v>
      </c>
      <c r="C163" s="330"/>
      <c r="D163" s="366" t="s">
        <v>241</v>
      </c>
      <c r="E163" s="345" t="str">
        <f>"Worksheet F ln "&amp;'WS F Misc Exp'!A71&amp;".(E) (Note L)"</f>
        <v>Worksheet F ln 44.(E) (Note L)</v>
      </c>
      <c r="F163" s="345"/>
      <c r="G163" s="348">
        <f>+'WS F Misc Exp'!F71</f>
        <v>2200084.2799999998</v>
      </c>
      <c r="H163" s="433"/>
      <c r="I163" s="349" t="s">
        <v>129</v>
      </c>
      <c r="J163" s="350">
        <v>1</v>
      </c>
      <c r="K163" s="327"/>
      <c r="L163" s="434">
        <f>+J163*G163</f>
        <v>2200084.2799999998</v>
      </c>
      <c r="M163" s="345"/>
      <c r="N163" s="327"/>
    </row>
    <row r="164" spans="2:14" ht="15.75" thickBot="1">
      <c r="B164" s="329">
        <f t="shared" si="7"/>
        <v>92</v>
      </c>
      <c r="C164" s="330"/>
      <c r="D164" s="366" t="s">
        <v>860</v>
      </c>
      <c r="E164" s="345" t="s">
        <v>862</v>
      </c>
      <c r="F164" s="345"/>
      <c r="G164" s="399">
        <f>'WS O - PBOP'!E22</f>
        <v>-45577623</v>
      </c>
      <c r="H164" s="433"/>
      <c r="I164" s="358" t="s">
        <v>132</v>
      </c>
      <c r="J164" s="350">
        <f>L241</f>
        <v>0.10558528374676276</v>
      </c>
      <c r="K164" s="327"/>
      <c r="L164" s="418">
        <f>+J164*G164</f>
        <v>-4812326.2569579808</v>
      </c>
      <c r="M164" s="345"/>
      <c r="N164" s="327"/>
    </row>
    <row r="165" spans="2:14">
      <c r="B165" s="329">
        <f t="shared" si="7"/>
        <v>93</v>
      </c>
      <c r="C165" s="330"/>
      <c r="D165" s="321" t="s">
        <v>109</v>
      </c>
      <c r="E165" s="345" t="str">
        <f>"(sum lns "&amp;B159&amp;"  to "&amp;B164&amp;")"</f>
        <v>(sum lns 87  to 92)</v>
      </c>
      <c r="F165" s="345"/>
      <c r="G165" s="409">
        <f>SUM(G159:G164)</f>
        <v>59011702.507475719</v>
      </c>
      <c r="H165" s="363"/>
      <c r="I165" s="358"/>
      <c r="J165" s="410"/>
      <c r="K165" s="327"/>
      <c r="L165" s="409">
        <f>SUM(L159:L164)</f>
        <v>8980393.4222260416</v>
      </c>
      <c r="M165" s="345"/>
      <c r="N165" s="327"/>
    </row>
    <row r="166" spans="2:14" ht="15.75" thickBot="1">
      <c r="B166" s="329"/>
      <c r="C166" s="330"/>
      <c r="D166" s="366"/>
      <c r="E166" s="345"/>
      <c r="F166" s="345"/>
      <c r="G166" s="399"/>
      <c r="H166" s="345"/>
      <c r="I166" s="358"/>
      <c r="J166" s="410"/>
      <c r="K166" s="327"/>
      <c r="L166" s="418"/>
      <c r="M166" s="345"/>
      <c r="N166" s="327"/>
    </row>
    <row r="167" spans="2:14">
      <c r="B167" s="329">
        <f>+B165+1</f>
        <v>94</v>
      </c>
      <c r="C167" s="355"/>
      <c r="D167" s="366" t="s">
        <v>414</v>
      </c>
      <c r="E167" s="345" t="str">
        <f>"(ln "&amp;B149&amp;" + ln "&amp;B165&amp;")"</f>
        <v>(ln 78 + ln 93)</v>
      </c>
      <c r="F167" s="345"/>
      <c r="G167" s="363">
        <f>+G149+G165</f>
        <v>97766542.027475715</v>
      </c>
      <c r="H167" s="363"/>
      <c r="I167" s="349"/>
      <c r="J167" s="345"/>
      <c r="K167" s="345"/>
      <c r="L167" s="363">
        <f>L149+L165</f>
        <v>46876684.391254164</v>
      </c>
      <c r="M167" s="345"/>
      <c r="N167" s="327"/>
    </row>
    <row r="168" spans="2:14" ht="15.75" thickBot="1">
      <c r="B168" s="329">
        <f>+B167+1</f>
        <v>95</v>
      </c>
      <c r="C168" s="355"/>
      <c r="D168" s="366" t="s">
        <v>486</v>
      </c>
      <c r="E168" s="366"/>
      <c r="F168" s="345"/>
      <c r="G168" s="840">
        <v>0</v>
      </c>
      <c r="H168" s="363"/>
      <c r="I168" s="358" t="s">
        <v>129</v>
      </c>
      <c r="J168" s="350">
        <v>1</v>
      </c>
      <c r="K168" s="345"/>
      <c r="L168" s="418">
        <f>J168*G168</f>
        <v>0</v>
      </c>
      <c r="M168" s="345"/>
      <c r="N168" s="327"/>
    </row>
    <row r="169" spans="2:14">
      <c r="B169" s="329">
        <f>+B168+1</f>
        <v>96</v>
      </c>
      <c r="C169" s="330"/>
      <c r="D169" s="366" t="s">
        <v>110</v>
      </c>
      <c r="E169" s="345" t="str">
        <f>"(ln "&amp;B167&amp;" + ln "&amp;B168&amp;")"</f>
        <v>(ln 94 + ln 95)</v>
      </c>
      <c r="F169" s="345"/>
      <c r="G169" s="363">
        <f>+G167+G168</f>
        <v>97766542.027475715</v>
      </c>
      <c r="H169" s="363"/>
      <c r="I169" s="349"/>
      <c r="J169" s="345"/>
      <c r="K169" s="345"/>
      <c r="L169" s="363">
        <f>+L167+L168</f>
        <v>46876684.391254164</v>
      </c>
      <c r="M169" s="345"/>
      <c r="N169" s="327"/>
    </row>
    <row r="170" spans="2:14">
      <c r="B170" s="329"/>
      <c r="C170" s="330"/>
      <c r="D170" s="366"/>
      <c r="E170" s="327"/>
      <c r="F170" s="327"/>
      <c r="G170" s="409"/>
      <c r="H170" s="345"/>
      <c r="I170" s="327"/>
      <c r="J170" s="327"/>
      <c r="K170" s="327"/>
      <c r="L170" s="409"/>
      <c r="M170" s="345"/>
      <c r="N170" s="327"/>
    </row>
    <row r="171" spans="2:14">
      <c r="B171" s="329">
        <f>+B169+1</f>
        <v>97</v>
      </c>
      <c r="C171" s="330"/>
      <c r="D171" s="391" t="s">
        <v>113</v>
      </c>
      <c r="E171" s="349"/>
      <c r="F171" s="349"/>
      <c r="G171" s="409"/>
      <c r="H171" s="345"/>
      <c r="I171" s="358"/>
      <c r="J171" s="327"/>
      <c r="K171" s="327"/>
      <c r="L171" s="409"/>
      <c r="M171" s="345"/>
      <c r="N171" s="327"/>
    </row>
    <row r="172" spans="2:14">
      <c r="B172" s="329">
        <f t="shared" ref="B172:B177" si="8">+B171+1</f>
        <v>98</v>
      </c>
      <c r="C172" s="330"/>
      <c r="D172" s="321" t="s">
        <v>126</v>
      </c>
      <c r="E172" s="344" t="s">
        <v>424</v>
      </c>
      <c r="F172" s="349"/>
      <c r="G172" s="839">
        <f>209776871+8655759+5742192+18909499</f>
        <v>243084321</v>
      </c>
      <c r="H172" s="345"/>
      <c r="I172" s="358" t="s">
        <v>127</v>
      </c>
      <c r="J172" s="350">
        <v>0</v>
      </c>
      <c r="K172" s="327"/>
      <c r="L172" s="363">
        <f>+G172*J172</f>
        <v>0</v>
      </c>
      <c r="M172" s="345"/>
      <c r="N172" s="327"/>
    </row>
    <row r="173" spans="2:14">
      <c r="B173" s="329">
        <f t="shared" si="8"/>
        <v>99</v>
      </c>
      <c r="C173" s="330"/>
      <c r="D173" s="366" t="s">
        <v>130</v>
      </c>
      <c r="E173" s="344" t="s">
        <v>423</v>
      </c>
      <c r="F173" s="349"/>
      <c r="G173" s="839">
        <v>179230089</v>
      </c>
      <c r="H173" s="345"/>
      <c r="I173" s="358" t="s">
        <v>127</v>
      </c>
      <c r="J173" s="350">
        <v>0</v>
      </c>
      <c r="K173" s="327"/>
      <c r="L173" s="363">
        <f>+G173*J173</f>
        <v>0</v>
      </c>
      <c r="M173" s="345"/>
      <c r="N173" s="327"/>
    </row>
    <row r="174" spans="2:14">
      <c r="B174" s="329">
        <f t="shared" si="8"/>
        <v>100</v>
      </c>
      <c r="C174" s="330"/>
      <c r="D174" s="393" t="str">
        <f>+D144</f>
        <v xml:space="preserve">  Transmission </v>
      </c>
      <c r="E174" s="344" t="s">
        <v>419</v>
      </c>
      <c r="F174" s="435"/>
      <c r="G174" s="839">
        <v>81853641</v>
      </c>
      <c r="H174" s="436"/>
      <c r="I174" s="437" t="s">
        <v>26</v>
      </c>
      <c r="J174" s="350">
        <f>J80</f>
        <v>0.97102887555344486</v>
      </c>
      <c r="K174" s="438"/>
      <c r="L174" s="439">
        <f>J174*G174</f>
        <v>79482248.980185345</v>
      </c>
      <c r="M174" s="396"/>
      <c r="N174" s="327"/>
    </row>
    <row r="175" spans="2:14">
      <c r="B175" s="329">
        <f>+B174+1</f>
        <v>101</v>
      </c>
      <c r="C175" s="330"/>
      <c r="D175" s="391" t="s">
        <v>136</v>
      </c>
      <c r="E175" s="435" t="s">
        <v>420</v>
      </c>
      <c r="F175" s="327"/>
      <c r="G175" s="839">
        <v>11032655</v>
      </c>
      <c r="H175" s="363"/>
      <c r="I175" s="358" t="s">
        <v>132</v>
      </c>
      <c r="J175" s="350">
        <f>L241</f>
        <v>0.10558528374676276</v>
      </c>
      <c r="K175" s="327"/>
      <c r="L175" s="409">
        <f>+J175*G175</f>
        <v>1164886.0086551409</v>
      </c>
      <c r="M175" s="345"/>
      <c r="N175" s="327"/>
    </row>
    <row r="176" spans="2:14" ht="15.75" thickBot="1">
      <c r="B176" s="329">
        <f t="shared" si="8"/>
        <v>102</v>
      </c>
      <c r="C176" s="330"/>
      <c r="D176" s="391" t="s">
        <v>137</v>
      </c>
      <c r="E176" s="394" t="s">
        <v>421</v>
      </c>
      <c r="F176" s="345"/>
      <c r="G176" s="840">
        <v>34304380</v>
      </c>
      <c r="H176" s="363"/>
      <c r="I176" s="358" t="s">
        <v>132</v>
      </c>
      <c r="J176" s="350">
        <f>L241</f>
        <v>0.10558528374676276</v>
      </c>
      <c r="K176" s="327"/>
      <c r="L176" s="418">
        <f>+J176*G176</f>
        <v>3622037.6960567734</v>
      </c>
      <c r="M176" s="345"/>
      <c r="N176" s="327"/>
    </row>
    <row r="177" spans="2:14">
      <c r="B177" s="329">
        <f t="shared" si="8"/>
        <v>103</v>
      </c>
      <c r="C177" s="330"/>
      <c r="D177" s="391" t="s">
        <v>301</v>
      </c>
      <c r="E177" s="1468" t="str">
        <f>"(Ln "&amp;B172&amp;"+"&amp;B173&amp;"+
"&amp;B174&amp;"+"&amp;B175&amp;"+"&amp;B176&amp;")"</f>
        <v>(Ln 98+99+
100+101+102)</v>
      </c>
      <c r="F177" s="327"/>
      <c r="G177" s="363">
        <f>+G172+G173+G174+G175+G176</f>
        <v>549505086</v>
      </c>
      <c r="H177" s="345"/>
      <c r="I177" s="358"/>
      <c r="J177" s="327"/>
      <c r="K177" s="327"/>
      <c r="L177" s="363">
        <f>+L172+L173+L174+L175+L176</f>
        <v>84269172.684897259</v>
      </c>
      <c r="M177" s="345"/>
      <c r="N177" s="327"/>
    </row>
    <row r="178" spans="2:14">
      <c r="B178" s="329"/>
      <c r="C178" s="330"/>
      <c r="D178" s="391"/>
      <c r="E178" s="1469"/>
      <c r="F178" s="327"/>
      <c r="G178" s="409"/>
      <c r="H178" s="345"/>
      <c r="I178" s="358"/>
      <c r="J178" s="327"/>
      <c r="K178" s="327"/>
      <c r="L178" s="409"/>
      <c r="M178" s="345"/>
      <c r="N178" s="327"/>
    </row>
    <row r="179" spans="2:14">
      <c r="B179" s="329">
        <f>+B177+1</f>
        <v>104</v>
      </c>
      <c r="C179" s="330"/>
      <c r="D179" s="391" t="s">
        <v>32</v>
      </c>
      <c r="E179" s="320" t="s">
        <v>422</v>
      </c>
      <c r="G179" s="409"/>
      <c r="H179" s="345"/>
      <c r="I179" s="358"/>
      <c r="J179" s="327"/>
      <c r="K179" s="327"/>
      <c r="L179" s="409"/>
      <c r="M179" s="345"/>
      <c r="N179" s="327"/>
    </row>
    <row r="180" spans="2:14">
      <c r="B180" s="329">
        <f t="shared" ref="B180:B185" si="9">+B179+1</f>
        <v>105</v>
      </c>
      <c r="C180" s="330"/>
      <c r="D180" s="391" t="s">
        <v>138</v>
      </c>
      <c r="G180" s="409"/>
      <c r="H180" s="345"/>
      <c r="I180" s="358"/>
      <c r="K180" s="327"/>
      <c r="L180" s="409"/>
      <c r="M180" s="345"/>
      <c r="N180" s="327"/>
    </row>
    <row r="181" spans="2:14">
      <c r="B181" s="329">
        <f t="shared" si="9"/>
        <v>106</v>
      </c>
      <c r="C181" s="330"/>
      <c r="D181" s="391" t="s">
        <v>139</v>
      </c>
      <c r="E181" s="345" t="str">
        <f>"Worksheet H ln "&amp;'WS H Other Taxes'!A43&amp;"."&amp;'WS H Other Taxes'!I10&amp;""</f>
        <v>Worksheet H ln 24.(D)</v>
      </c>
      <c r="F181" s="327"/>
      <c r="G181" s="363">
        <f>+'WS H Other Taxes'!I43</f>
        <v>7949727</v>
      </c>
      <c r="H181" s="363"/>
      <c r="I181" s="358" t="s">
        <v>132</v>
      </c>
      <c r="J181" s="350">
        <f>L241</f>
        <v>0.10558528374676276</v>
      </c>
      <c r="K181" s="327"/>
      <c r="L181" s="409">
        <f>+J181*G181</f>
        <v>839374.18100430106</v>
      </c>
      <c r="M181" s="414"/>
      <c r="N181" s="327"/>
    </row>
    <row r="182" spans="2:14">
      <c r="B182" s="329">
        <f t="shared" si="9"/>
        <v>107</v>
      </c>
      <c r="C182" s="330"/>
      <c r="D182" s="391" t="s">
        <v>140</v>
      </c>
      <c r="E182" s="345" t="s">
        <v>114</v>
      </c>
      <c r="F182" s="327"/>
      <c r="G182" s="363"/>
      <c r="H182" s="363"/>
      <c r="I182" s="358"/>
      <c r="K182" s="327"/>
      <c r="L182" s="409"/>
      <c r="M182" s="345"/>
      <c r="N182" s="327"/>
    </row>
    <row r="183" spans="2:14">
      <c r="B183" s="329">
        <f t="shared" si="9"/>
        <v>108</v>
      </c>
      <c r="C183" s="355"/>
      <c r="D183" s="398" t="s">
        <v>141</v>
      </c>
      <c r="E183" s="345" t="str">
        <f>"Worksheet H ln "&amp;'WS H Other Taxes'!A43&amp;"."&amp;'WS H Other Taxes'!G10&amp;""</f>
        <v>Worksheet H ln 24.(C)</v>
      </c>
      <c r="F183" s="345"/>
      <c r="G183" s="363">
        <f>+'WS H Other Taxes'!G43</f>
        <v>79955952</v>
      </c>
      <c r="H183" s="363"/>
      <c r="I183" s="349" t="s">
        <v>129</v>
      </c>
      <c r="J183" s="350"/>
      <c r="K183" s="345"/>
      <c r="L183" s="421">
        <f>'WS H-1-Detail of Tax Amts'!I25</f>
        <v>27681649.380378194</v>
      </c>
      <c r="M183" s="440"/>
      <c r="N183" s="345"/>
    </row>
    <row r="184" spans="2:14">
      <c r="B184" s="329">
        <f t="shared" si="9"/>
        <v>109</v>
      </c>
      <c r="C184" s="330"/>
      <c r="D184" s="391" t="s">
        <v>200</v>
      </c>
      <c r="E184" s="345" t="str">
        <f>"Worksheet H ln "&amp;'WS H Other Taxes'!A43&amp;"."&amp;'WS H Other Taxes'!M10&amp;""</f>
        <v>Worksheet H ln 24.(F)</v>
      </c>
      <c r="F184" s="327"/>
      <c r="G184" s="363">
        <f>+'WS H Other Taxes'!M43</f>
        <v>47236723</v>
      </c>
      <c r="H184" s="415"/>
      <c r="I184" s="358" t="s">
        <v>127</v>
      </c>
      <c r="J184" s="350">
        <v>0</v>
      </c>
      <c r="K184" s="327"/>
      <c r="L184" s="409">
        <f>+J184*G184</f>
        <v>0</v>
      </c>
      <c r="M184" s="345"/>
      <c r="N184" s="327"/>
    </row>
    <row r="185" spans="2:14" ht="15.75" thickBot="1">
      <c r="B185" s="329">
        <f t="shared" si="9"/>
        <v>110</v>
      </c>
      <c r="C185" s="330"/>
      <c r="D185" s="391" t="s">
        <v>142</v>
      </c>
      <c r="E185" s="345" t="str">
        <f>"Worksheet H ln "&amp;'WS H Other Taxes'!A43&amp;"."&amp;'WS H Other Taxes'!K10&amp;""</f>
        <v>Worksheet H ln 24.(E)</v>
      </c>
      <c r="F185" s="327"/>
      <c r="G185" s="399">
        <f>+'WS H Other Taxes'!K43</f>
        <v>14574203</v>
      </c>
      <c r="H185" s="415"/>
      <c r="I185" s="358" t="s">
        <v>757</v>
      </c>
      <c r="J185" s="350">
        <f>J75</f>
        <v>0.24519012692060513</v>
      </c>
      <c r="K185" s="327"/>
      <c r="L185" s="418">
        <f>+J185*G185</f>
        <v>3573450.683336664</v>
      </c>
      <c r="M185" s="345"/>
      <c r="N185" s="327"/>
    </row>
    <row r="186" spans="2:14">
      <c r="B186" s="329">
        <f>+B185+1</f>
        <v>111</v>
      </c>
      <c r="C186" s="330"/>
      <c r="D186" s="391" t="s">
        <v>33</v>
      </c>
      <c r="E186" s="357" t="str">
        <f>"(sum lns "&amp;B181&amp;" to "&amp;B185&amp;")"</f>
        <v>(sum lns 106 to 110)</v>
      </c>
      <c r="F186" s="327"/>
      <c r="G186" s="363">
        <f>SUM(G181:G185)</f>
        <v>149716605</v>
      </c>
      <c r="H186" s="345"/>
      <c r="I186" s="358"/>
      <c r="J186" s="441"/>
      <c r="K186" s="327"/>
      <c r="L186" s="409">
        <f>SUM(L181:L185)</f>
        <v>32094474.244719159</v>
      </c>
      <c r="M186" s="345"/>
      <c r="N186" s="327"/>
    </row>
    <row r="187" spans="2:14">
      <c r="B187" s="329"/>
      <c r="C187" s="330"/>
      <c r="D187" s="391"/>
      <c r="E187" s="327"/>
      <c r="F187" s="327"/>
      <c r="G187" s="327"/>
      <c r="H187" s="345"/>
      <c r="I187" s="358"/>
      <c r="J187" s="441"/>
      <c r="K187" s="327"/>
      <c r="L187" s="327"/>
      <c r="M187" s="412"/>
      <c r="N187" s="327"/>
    </row>
    <row r="188" spans="2:14">
      <c r="B188" s="329">
        <f>+B186+1</f>
        <v>112</v>
      </c>
      <c r="C188" s="330"/>
      <c r="D188" s="391" t="s">
        <v>337</v>
      </c>
      <c r="E188" s="345" t="s">
        <v>425</v>
      </c>
      <c r="F188" s="442"/>
      <c r="G188" s="327"/>
      <c r="H188" s="370"/>
      <c r="I188" s="422"/>
      <c r="K188" s="327"/>
      <c r="L188" s="443"/>
      <c r="M188" s="345"/>
      <c r="N188" s="327"/>
    </row>
    <row r="189" spans="2:14">
      <c r="B189" s="329">
        <f t="shared" ref="B189:B196" si="10">+B188+1</f>
        <v>113</v>
      </c>
      <c r="C189" s="330"/>
      <c r="D189" s="444" t="s">
        <v>338</v>
      </c>
      <c r="E189" s="327"/>
      <c r="F189" s="445"/>
      <c r="G189" s="446">
        <f>IF(F338&gt;0,1-(((1-F339)*(1-F338))/(1-F339*F338*F340)),0)</f>
        <v>0.23828199999999999</v>
      </c>
      <c r="H189" s="447"/>
      <c r="I189" s="447"/>
      <c r="K189" s="448"/>
      <c r="L189" s="443"/>
      <c r="M189" s="345"/>
      <c r="N189" s="327"/>
    </row>
    <row r="190" spans="2:14">
      <c r="B190" s="329">
        <f t="shared" si="10"/>
        <v>114</v>
      </c>
      <c r="C190" s="330"/>
      <c r="D190" s="353" t="s">
        <v>339</v>
      </c>
      <c r="E190" s="327"/>
      <c r="F190" s="445"/>
      <c r="G190" s="446">
        <f>IF(L255&gt;0,($G189/(1-$G189))*(1-$L255/$L258),0)</f>
        <v>0.20907396239608936</v>
      </c>
      <c r="H190" s="447"/>
      <c r="I190" s="447"/>
      <c r="K190" s="448"/>
      <c r="L190" s="443"/>
      <c r="M190" s="345"/>
      <c r="N190" s="327"/>
    </row>
    <row r="191" spans="2:14">
      <c r="B191" s="329">
        <f t="shared" si="10"/>
        <v>115</v>
      </c>
      <c r="C191" s="330"/>
      <c r="D191" s="398" t="str">
        <f>"       where WCLTD=(ln "&amp;B255&amp;") and WACC = (ln "&amp;B258&amp;")"</f>
        <v xml:space="preserve">       where WCLTD=(ln 154) and WACC = (ln 157)</v>
      </c>
      <c r="E191" s="345"/>
      <c r="F191" s="449"/>
      <c r="G191" s="327"/>
      <c r="H191" s="447"/>
      <c r="I191" s="447"/>
      <c r="J191" s="450"/>
      <c r="K191" s="448"/>
      <c r="L191" s="451"/>
      <c r="M191" s="345"/>
      <c r="N191" s="327"/>
    </row>
    <row r="192" spans="2:14">
      <c r="B192" s="329">
        <f t="shared" si="10"/>
        <v>116</v>
      </c>
      <c r="C192" s="330"/>
      <c r="D192" s="391" t="s">
        <v>428</v>
      </c>
      <c r="E192" s="452"/>
      <c r="F192" s="445"/>
      <c r="G192" s="327"/>
      <c r="H192" s="370"/>
      <c r="I192" s="422"/>
      <c r="J192" s="450"/>
      <c r="K192" s="448"/>
      <c r="L192" s="443"/>
      <c r="M192" s="345"/>
      <c r="N192" s="327"/>
    </row>
    <row r="193" spans="2:14">
      <c r="B193" s="329">
        <f t="shared" si="10"/>
        <v>117</v>
      </c>
      <c r="C193" s="330"/>
      <c r="D193" s="453" t="str">
        <f>"      GRCF=1 / (1 - T)  = (from ln "&amp;B189&amp;")"</f>
        <v xml:space="preserve">      GRCF=1 / (1 - T)  = (from ln 113)</v>
      </c>
      <c r="E193" s="442"/>
      <c r="F193" s="442"/>
      <c r="G193" s="454">
        <f>IF(G189&gt;0,1/(1-G189),0)</f>
        <v>1.3128218054450598</v>
      </c>
      <c r="H193" s="370"/>
      <c r="I193" s="375"/>
      <c r="J193" s="455"/>
      <c r="K193" s="456"/>
      <c r="L193" s="457"/>
      <c r="M193" s="345"/>
      <c r="N193" s="327"/>
    </row>
    <row r="194" spans="2:14">
      <c r="B194" s="329">
        <f t="shared" si="10"/>
        <v>118</v>
      </c>
      <c r="C194" s="330"/>
      <c r="D194" s="391" t="s">
        <v>340</v>
      </c>
      <c r="E194" s="410" t="s">
        <v>504</v>
      </c>
      <c r="F194" s="442"/>
      <c r="G194" s="839">
        <v>-170592</v>
      </c>
      <c r="H194" s="370"/>
      <c r="I194" s="375"/>
      <c r="J194" s="458"/>
      <c r="K194" s="456"/>
      <c r="L194" s="443"/>
      <c r="M194" s="349"/>
      <c r="N194" s="327"/>
    </row>
    <row r="195" spans="2:14">
      <c r="B195" s="329">
        <f t="shared" si="10"/>
        <v>119</v>
      </c>
      <c r="C195" s="330"/>
      <c r="D195" s="353" t="s">
        <v>532</v>
      </c>
      <c r="E195" s="345" t="s">
        <v>545</v>
      </c>
      <c r="F195" s="459"/>
      <c r="G195" s="1297">
        <v>-76241863</v>
      </c>
      <c r="H195" s="370"/>
      <c r="I195" s="349" t="s">
        <v>129</v>
      </c>
      <c r="J195" s="458"/>
      <c r="K195" s="456"/>
      <c r="L195" s="839">
        <v>-5087708</v>
      </c>
      <c r="M195" s="349"/>
      <c r="N195" s="327"/>
    </row>
    <row r="196" spans="2:14">
      <c r="B196" s="329">
        <f t="shared" si="10"/>
        <v>120</v>
      </c>
      <c r="C196" s="330"/>
      <c r="D196" s="475" t="s">
        <v>747</v>
      </c>
      <c r="E196" s="345" t="s">
        <v>545</v>
      </c>
      <c r="F196" s="459"/>
      <c r="G196" s="839">
        <v>12706582.74</v>
      </c>
      <c r="H196" s="370"/>
      <c r="I196" s="349" t="s">
        <v>129</v>
      </c>
      <c r="J196" s="458"/>
      <c r="K196" s="456"/>
      <c r="L196" s="839">
        <v>1877132.05</v>
      </c>
      <c r="M196" s="349"/>
      <c r="N196" s="327"/>
    </row>
    <row r="197" spans="2:14">
      <c r="B197" s="329"/>
      <c r="C197" s="330"/>
      <c r="D197" s="398"/>
      <c r="E197" s="327"/>
      <c r="F197" s="445"/>
      <c r="G197" s="409"/>
      <c r="H197" s="370"/>
      <c r="I197" s="375"/>
      <c r="J197" s="460"/>
      <c r="K197" s="456"/>
      <c r="L197" s="443"/>
      <c r="M197" s="345"/>
      <c r="N197" s="327"/>
    </row>
    <row r="198" spans="2:14">
      <c r="B198" s="329">
        <f>+B196+1</f>
        <v>121</v>
      </c>
      <c r="C198" s="330"/>
      <c r="D198" s="453" t="s">
        <v>341</v>
      </c>
      <c r="E198" s="459" t="str">
        <f>"(ln "&amp;B190&amp;" * ln "&amp;B205&amp;")"</f>
        <v>(ln 114 * ln 126)</v>
      </c>
      <c r="F198" s="461"/>
      <c r="G198" s="409">
        <f>+G190*G205</f>
        <v>118219345.98294726</v>
      </c>
      <c r="H198" s="370"/>
      <c r="I198" s="375"/>
      <c r="J198" s="460"/>
      <c r="K198" s="409"/>
      <c r="L198" s="409">
        <f>+L205*G190</f>
        <v>37114319.808546148</v>
      </c>
      <c r="M198" s="345"/>
      <c r="N198" s="327"/>
    </row>
    <row r="199" spans="2:14">
      <c r="B199" s="329">
        <f>+B198+1</f>
        <v>122</v>
      </c>
      <c r="C199" s="330"/>
      <c r="D199" s="475" t="s">
        <v>342</v>
      </c>
      <c r="E199" s="459" t="str">
        <f>"(ln "&amp;B193&amp;" * ln "&amp;B194&amp;")"</f>
        <v>(ln 117 * ln 118)</v>
      </c>
      <c r="F199" s="459"/>
      <c r="G199" s="434">
        <f>G193*G194</f>
        <v>-223956.89743448363</v>
      </c>
      <c r="H199" s="370"/>
      <c r="I199" s="349" t="s">
        <v>757</v>
      </c>
      <c r="J199" s="350">
        <f>J75</f>
        <v>0.24519012692060513</v>
      </c>
      <c r="K199" s="409"/>
      <c r="L199" s="434">
        <f>+G199*J199</f>
        <v>-54912.02010670599</v>
      </c>
      <c r="M199" s="345"/>
      <c r="N199" s="327"/>
    </row>
    <row r="200" spans="2:14">
      <c r="B200" s="329">
        <f>B199+1</f>
        <v>123</v>
      </c>
      <c r="C200" s="330"/>
      <c r="D200" s="475" t="s">
        <v>532</v>
      </c>
      <c r="E200" s="459" t="str">
        <f>"(ln "&amp;B193&amp;" * ln "&amp;B195&amp;")"</f>
        <v>(ln 117 * ln 119)</v>
      </c>
      <c r="F200" s="459"/>
      <c r="G200" s="434">
        <f>G195*G193</f>
        <v>-100091980.23415489</v>
      </c>
      <c r="H200" s="370"/>
      <c r="I200" s="462"/>
      <c r="J200" s="350"/>
      <c r="K200" s="409"/>
      <c r="L200" s="434">
        <f>L195*G193</f>
        <v>-6679254.0021372745</v>
      </c>
      <c r="M200" s="345"/>
      <c r="N200" s="327"/>
    </row>
    <row r="201" spans="2:14">
      <c r="B201" s="329">
        <f>B200+1</f>
        <v>124</v>
      </c>
      <c r="C201" s="330"/>
      <c r="D201" s="475" t="s">
        <v>747</v>
      </c>
      <c r="E201" s="459" t="str">
        <f>"(ln "&amp;B193&amp;" * ln "&amp;B196&amp;")"</f>
        <v>(ln 117 * ln 120)</v>
      </c>
      <c r="F201" s="459"/>
      <c r="G201" s="463">
        <f>G196*G193</f>
        <v>16681478.893763835</v>
      </c>
      <c r="H201" s="370"/>
      <c r="I201" s="462"/>
      <c r="J201" s="350"/>
      <c r="K201" s="409"/>
      <c r="L201" s="463">
        <f>L196*G193</f>
        <v>2464339.8869397864</v>
      </c>
      <c r="M201" s="345"/>
      <c r="N201" s="327"/>
    </row>
    <row r="202" spans="2:14">
      <c r="B202" s="329"/>
      <c r="C202" s="330"/>
      <c r="D202" s="353"/>
      <c r="E202" s="459"/>
      <c r="F202" s="459"/>
      <c r="G202" s="434"/>
      <c r="H202" s="370"/>
      <c r="I202" s="462"/>
      <c r="J202" s="350"/>
      <c r="K202" s="409"/>
      <c r="L202" s="434"/>
      <c r="M202" s="345"/>
      <c r="N202" s="327"/>
    </row>
    <row r="203" spans="2:14">
      <c r="B203" s="329">
        <f>+B201+1</f>
        <v>125</v>
      </c>
      <c r="C203" s="330"/>
      <c r="D203" s="444" t="s">
        <v>35</v>
      </c>
      <c r="E203" s="327" t="str">
        <f>"(sum lns "&amp;B198&amp;" to "&amp;B201&amp;")"</f>
        <v>(sum lns 121 to 124)</v>
      </c>
      <c r="F203" s="459"/>
      <c r="G203" s="377">
        <f>SUM(G198:G201)</f>
        <v>34584887.74512171</v>
      </c>
      <c r="H203" s="370"/>
      <c r="I203" s="375" t="s">
        <v>114</v>
      </c>
      <c r="J203" s="464"/>
      <c r="K203" s="409"/>
      <c r="L203" s="377">
        <f>SUM(L198:L201)</f>
        <v>32844493.673241958</v>
      </c>
      <c r="M203" s="345"/>
      <c r="N203" s="327"/>
    </row>
    <row r="204" spans="2:14">
      <c r="B204" s="329"/>
      <c r="C204" s="330"/>
      <c r="D204" s="391"/>
      <c r="E204" s="327"/>
      <c r="F204" s="327"/>
      <c r="G204" s="327"/>
      <c r="H204" s="345"/>
      <c r="I204" s="358"/>
      <c r="J204" s="441"/>
      <c r="K204" s="327"/>
      <c r="L204" s="327"/>
      <c r="M204" s="345"/>
      <c r="N204" s="327"/>
    </row>
    <row r="205" spans="2:14">
      <c r="B205" s="329">
        <f>+B203+1</f>
        <v>126</v>
      </c>
      <c r="C205" s="330"/>
      <c r="D205" s="453" t="s">
        <v>199</v>
      </c>
      <c r="E205" s="453" t="str">
        <f>"(ln "&amp;B125&amp;" * ln "&amp;B258&amp;")"</f>
        <v>(ln 68 * ln 157)</v>
      </c>
      <c r="F205" s="419"/>
      <c r="G205" s="409">
        <f>+$L258*G125</f>
        <v>565442700.88965654</v>
      </c>
      <c r="H205" s="345"/>
      <c r="I205" s="375"/>
      <c r="J205" s="409"/>
      <c r="K205" s="409"/>
      <c r="L205" s="409">
        <f>+L258*L125</f>
        <v>177517656.35088167</v>
      </c>
      <c r="M205" s="345"/>
      <c r="N205" s="443"/>
    </row>
    <row r="206" spans="2:14">
      <c r="B206" s="329"/>
      <c r="C206" s="330"/>
      <c r="D206" s="444"/>
      <c r="G206" s="409"/>
      <c r="H206" s="409"/>
      <c r="I206" s="375"/>
      <c r="J206" s="375"/>
      <c r="K206" s="409"/>
      <c r="L206" s="409"/>
      <c r="M206" s="345"/>
    </row>
    <row r="207" spans="2:14">
      <c r="B207" s="329">
        <f>+B205+1</f>
        <v>127</v>
      </c>
      <c r="C207" s="330"/>
      <c r="D207" s="466" t="s">
        <v>99</v>
      </c>
      <c r="F207" s="435"/>
      <c r="G207" s="363">
        <f>-'WS D IPP Credits'!C13</f>
        <v>132979</v>
      </c>
      <c r="H207" s="363"/>
      <c r="I207" s="417" t="s">
        <v>129</v>
      </c>
      <c r="J207" s="350">
        <v>1</v>
      </c>
      <c r="K207" s="439"/>
      <c r="L207" s="409">
        <f>+J207*G207</f>
        <v>132979</v>
      </c>
      <c r="M207" s="396"/>
    </row>
    <row r="208" spans="2:14">
      <c r="B208" s="329"/>
      <c r="C208" s="330"/>
      <c r="D208" s="466"/>
      <c r="F208" s="435"/>
      <c r="G208" s="363"/>
      <c r="H208" s="363"/>
      <c r="I208" s="417"/>
      <c r="J208" s="350"/>
      <c r="K208" s="439"/>
      <c r="L208" s="409"/>
      <c r="M208" s="396"/>
    </row>
    <row r="209" spans="2:14">
      <c r="B209" s="329">
        <f>+B207+1</f>
        <v>128</v>
      </c>
      <c r="C209" s="330"/>
      <c r="D209" s="466"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20"/>
      <c r="F209" s="394"/>
      <c r="G209" s="363">
        <f>+'WS N - Sale of Plant Held'!O33</f>
        <v>0</v>
      </c>
      <c r="H209" s="363"/>
      <c r="I209" s="467"/>
      <c r="J209" s="350"/>
      <c r="K209" s="397"/>
      <c r="L209" s="363">
        <f>'WS N - Sale of Plant Held'!S33</f>
        <v>0</v>
      </c>
      <c r="M209" s="396"/>
    </row>
    <row r="210" spans="2:14">
      <c r="B210" s="329"/>
      <c r="C210" s="330"/>
      <c r="D210" s="466"/>
      <c r="E210" s="320"/>
      <c r="F210" s="394"/>
      <c r="G210" s="363"/>
      <c r="H210" s="363"/>
      <c r="I210" s="467"/>
      <c r="J210" s="350"/>
      <c r="K210" s="397"/>
      <c r="L210" s="363"/>
      <c r="M210" s="396"/>
    </row>
    <row r="211" spans="2:14">
      <c r="B211" s="329">
        <f>+B209+1</f>
        <v>129</v>
      </c>
      <c r="C211" s="330"/>
      <c r="D211" s="466" t="str">
        <f>" Tax Impact on Net Loss / (Gain) on Sales of Plant Held for Future Use (ln "&amp;B209&amp;" * ln"&amp;B190&amp;")"</f>
        <v xml:space="preserve"> Tax Impact on Net Loss / (Gain) on Sales of Plant Held for Future Use (ln 128 * ln114)</v>
      </c>
      <c r="E211" s="320"/>
      <c r="F211" s="394"/>
      <c r="G211" s="363">
        <f>-+G190*G209</f>
        <v>0</v>
      </c>
      <c r="H211" s="363"/>
      <c r="I211" s="467"/>
      <c r="J211" s="350"/>
      <c r="K211" s="397"/>
      <c r="L211" s="363">
        <f>L209*-G190</f>
        <v>0</v>
      </c>
      <c r="M211" s="396"/>
    </row>
    <row r="212" spans="2:14" ht="15.75" thickBot="1">
      <c r="B212" s="329"/>
      <c r="C212" s="330"/>
      <c r="D212" s="391"/>
      <c r="G212" s="418"/>
      <c r="H212" s="468"/>
      <c r="I212" s="375"/>
      <c r="J212" s="375"/>
      <c r="K212" s="409"/>
      <c r="L212" s="418"/>
      <c r="M212" s="345"/>
    </row>
    <row r="213" spans="2:14" ht="15.75" thickBot="1">
      <c r="B213" s="329">
        <f>+B211+1</f>
        <v>130</v>
      </c>
      <c r="C213" s="330"/>
      <c r="D213" s="315" t="s">
        <v>249</v>
      </c>
      <c r="G213" s="469">
        <f>+G207+G205+G203+G186+G177+G169+G209+G211</f>
        <v>1397148800.6622539</v>
      </c>
      <c r="L213" s="469">
        <f>+L207+L205+L203+L186+L177+L169+L209+L211</f>
        <v>373735460.34499419</v>
      </c>
      <c r="M213" s="345"/>
    </row>
    <row r="214" spans="2:14" ht="15.75" thickTop="1">
      <c r="B214" s="329"/>
      <c r="C214" s="330"/>
      <c r="D214" s="321" t="str">
        <f>"    (sum lns "&amp;B169&amp;", "&amp;B177&amp;", "&amp;B186&amp;", "&amp;B203&amp;", "&amp;B205&amp;", "&amp;B207&amp;", "&amp;B209&amp;", "&amp;B211&amp;")"</f>
        <v xml:space="preserve">    (sum lns 96, 103, 111, 125, 126, 127, 128, 129)</v>
      </c>
      <c r="F214" s="470"/>
      <c r="M214" s="345"/>
    </row>
    <row r="215" spans="2:14">
      <c r="B215" s="329"/>
      <c r="C215" s="330"/>
      <c r="F215" s="470"/>
      <c r="M215" s="345"/>
    </row>
    <row r="216" spans="2:14">
      <c r="B216" s="329"/>
      <c r="C216" s="330"/>
      <c r="D216" s="321"/>
      <c r="F216" s="422" t="str">
        <f>F128</f>
        <v xml:space="preserve">AEP East Companies </v>
      </c>
      <c r="M216" s="421"/>
    </row>
    <row r="217" spans="2:14">
      <c r="B217" s="329"/>
      <c r="C217" s="330"/>
      <c r="D217" s="321"/>
      <c r="F217" s="422" t="str">
        <f>F129</f>
        <v>Transmission Cost of Service Formula Rate</v>
      </c>
      <c r="M217" s="421"/>
    </row>
    <row r="218" spans="2:14">
      <c r="B218" s="315"/>
      <c r="C218" s="330"/>
      <c r="F218" s="422" t="str">
        <f>F130</f>
        <v>Utilizing  Actual/Projected FERC Form 1 Data</v>
      </c>
      <c r="M218" s="380"/>
    </row>
    <row r="219" spans="2:14">
      <c r="B219" s="329"/>
      <c r="C219" s="330"/>
      <c r="E219" s="422"/>
      <c r="F219" s="422"/>
      <c r="G219" s="422"/>
      <c r="H219" s="422"/>
      <c r="I219" s="422"/>
      <c r="J219" s="422"/>
      <c r="K219" s="422"/>
      <c r="M219" s="345"/>
    </row>
    <row r="220" spans="2:14">
      <c r="B220" s="329"/>
      <c r="C220" s="330"/>
      <c r="E220" s="321"/>
      <c r="F220" s="422" t="str">
        <f>F132</f>
        <v>Appalachian Power Company</v>
      </c>
      <c r="G220" s="321"/>
      <c r="H220" s="321"/>
      <c r="I220" s="321"/>
      <c r="J220" s="321"/>
      <c r="K220" s="321"/>
      <c r="L220" s="321"/>
      <c r="M220" s="366"/>
    </row>
    <row r="221" spans="2:14">
      <c r="B221" s="329"/>
      <c r="C221" s="330"/>
      <c r="E221" s="321"/>
      <c r="F221" s="422"/>
      <c r="G221" s="321"/>
      <c r="H221" s="321"/>
      <c r="I221" s="321"/>
      <c r="J221" s="321"/>
      <c r="K221" s="321"/>
      <c r="L221" s="321"/>
      <c r="M221" s="366"/>
    </row>
    <row r="222" spans="2:14" ht="15.75">
      <c r="B222" s="329"/>
      <c r="C222" s="330"/>
      <c r="F222" s="426" t="s">
        <v>40</v>
      </c>
      <c r="H222" s="324"/>
      <c r="I222" s="324"/>
      <c r="J222" s="324"/>
      <c r="K222" s="324"/>
      <c r="L222" s="324"/>
      <c r="M222" s="345"/>
    </row>
    <row r="223" spans="2:14" ht="15.75">
      <c r="B223" s="329"/>
      <c r="C223" s="330"/>
      <c r="D223" s="471"/>
      <c r="E223" s="324"/>
      <c r="F223" s="324"/>
      <c r="G223" s="324"/>
      <c r="H223" s="324"/>
      <c r="I223" s="324"/>
      <c r="J223" s="324"/>
      <c r="K223" s="324"/>
      <c r="L223" s="324"/>
      <c r="M223" s="345"/>
    </row>
    <row r="224" spans="2:14" ht="15.75">
      <c r="B224" s="329" t="s">
        <v>116</v>
      </c>
      <c r="C224" s="330"/>
      <c r="D224" s="471"/>
      <c r="E224" s="324"/>
      <c r="F224" s="324"/>
      <c r="G224" s="324"/>
      <c r="H224" s="324"/>
      <c r="I224" s="324"/>
      <c r="J224" s="324"/>
      <c r="K224" s="324"/>
      <c r="L224" s="324"/>
      <c r="M224" s="345"/>
      <c r="N224" s="320"/>
    </row>
    <row r="225" spans="2:15" ht="15.75" thickBot="1">
      <c r="B225" s="336" t="s">
        <v>117</v>
      </c>
      <c r="C225" s="337"/>
      <c r="D225" s="366" t="s">
        <v>221</v>
      </c>
      <c r="E225" s="340"/>
      <c r="F225" s="340"/>
      <c r="G225" s="340"/>
      <c r="H225" s="340"/>
      <c r="I225" s="340"/>
      <c r="J225" s="340"/>
      <c r="K225" s="320"/>
      <c r="M225" s="345"/>
      <c r="N225" s="320"/>
      <c r="O225" s="332"/>
    </row>
    <row r="226" spans="2:15">
      <c r="B226" s="329">
        <f>+B213+1</f>
        <v>131</v>
      </c>
      <c r="C226" s="330"/>
      <c r="D226" s="340" t="s">
        <v>166</v>
      </c>
      <c r="E226" s="472" t="str">
        <f>"(ln "&amp;B68&amp;")"</f>
        <v>(ln 21)</v>
      </c>
      <c r="F226" s="473"/>
      <c r="H226" s="474"/>
      <c r="I226" s="474"/>
      <c r="J226" s="474"/>
      <c r="K226" s="474"/>
      <c r="L226" s="348">
        <f>+G68</f>
        <v>3718608301.6946149</v>
      </c>
      <c r="M226" s="345"/>
      <c r="N226" s="320"/>
      <c r="O226" s="332"/>
    </row>
    <row r="227" spans="2:15">
      <c r="B227" s="329">
        <f>+B226+1</f>
        <v>132</v>
      </c>
      <c r="C227" s="330"/>
      <c r="D227" s="340" t="str">
        <f>"  Less transmission plant excluded from PJM Tariff  (Worksheet A, ln "&amp;'WS A - RB Support'!A62&amp;", Col. "&amp;'WS A - RB Support'!E47&amp;") (Note P)"</f>
        <v xml:space="preserve">  Less transmission plant excluded from PJM Tariff  (Worksheet A, ln 42, Col. (d)) (Note P)</v>
      </c>
      <c r="E227" s="475"/>
      <c r="F227" s="475"/>
      <c r="G227" s="476"/>
      <c r="H227" s="475"/>
      <c r="I227" s="475"/>
      <c r="J227" s="475"/>
      <c r="K227" s="475"/>
      <c r="L227" s="839">
        <v>2559.6969999999783</v>
      </c>
      <c r="M227" s="345"/>
      <c r="O227" s="332"/>
    </row>
    <row r="228" spans="2:15" ht="15.75" thickBot="1">
      <c r="B228" s="329">
        <f>+B227+1</f>
        <v>133</v>
      </c>
      <c r="C228" s="330"/>
      <c r="D228" s="473" t="str">
        <f>"  Less transmission plant included in OATT Ancillary Services (Worksheet A, ln "&amp;'WS A - RB Support'!A62&amp;", Col. "&amp;'WS A - RB Support'!C47&amp;")  (Note Q)"</f>
        <v xml:space="preserve">  Less transmission plant included in OATT Ancillary Services (Worksheet A, ln 42, Col. (b))  (Note Q)</v>
      </c>
      <c r="E228" s="473"/>
      <c r="F228" s="473"/>
      <c r="G228" s="390"/>
      <c r="H228" s="474"/>
      <c r="I228" s="474"/>
      <c r="J228" s="390"/>
      <c r="K228" s="474"/>
      <c r="L228" s="477">
        <f>'WS A - RB Support'!C62</f>
        <v>82376978.151538491</v>
      </c>
      <c r="M228" s="345"/>
      <c r="O228" s="332"/>
    </row>
    <row r="229" spans="2:15">
      <c r="B229" s="329">
        <f>+B228+1</f>
        <v>134</v>
      </c>
      <c r="C229" s="330"/>
      <c r="D229" s="340" t="s">
        <v>222</v>
      </c>
      <c r="E229" s="478" t="str">
        <f>"(ln "&amp;B226&amp;" - ln "&amp;B227&amp;" - ln "&amp;B228&amp;")"</f>
        <v>(ln 131 - ln 132 - ln 133)</v>
      </c>
      <c r="F229" s="473"/>
      <c r="H229" s="474"/>
      <c r="I229" s="474"/>
      <c r="J229" s="390"/>
      <c r="K229" s="474"/>
      <c r="L229" s="348">
        <f>L226-L227-L228</f>
        <v>3636228763.8460765</v>
      </c>
      <c r="M229" s="345"/>
      <c r="O229" s="332"/>
    </row>
    <row r="230" spans="2:15">
      <c r="B230" s="329"/>
      <c r="C230" s="330"/>
      <c r="D230" s="320"/>
      <c r="E230" s="473"/>
      <c r="F230" s="473"/>
      <c r="G230" s="390"/>
      <c r="H230" s="474"/>
      <c r="I230" s="474"/>
      <c r="J230" s="390"/>
      <c r="K230" s="474"/>
      <c r="L230" s="475"/>
      <c r="M230" s="345"/>
      <c r="O230" s="332"/>
    </row>
    <row r="231" spans="2:15" ht="15.75">
      <c r="B231" s="329">
        <f>+B229+1</f>
        <v>135</v>
      </c>
      <c r="C231" s="330"/>
      <c r="D231" s="340" t="s">
        <v>223</v>
      </c>
      <c r="E231" s="479" t="str">
        <f>"(ln "&amp;B229&amp;" / ln "&amp;B226&amp;")"</f>
        <v>(ln 134 / ln 131)</v>
      </c>
      <c r="F231" s="480"/>
      <c r="H231" s="481"/>
      <c r="I231" s="482"/>
      <c r="J231" s="482"/>
      <c r="K231" s="483" t="s">
        <v>143</v>
      </c>
      <c r="L231" s="484">
        <f>IF(L226&gt;0,L229/L226,0)</f>
        <v>0.97784667510934209</v>
      </c>
      <c r="M231" s="345"/>
      <c r="O231" s="332"/>
    </row>
    <row r="232" spans="2:15" ht="15.75">
      <c r="B232" s="329"/>
      <c r="C232" s="330"/>
      <c r="D232" s="485"/>
      <c r="E232" s="340"/>
      <c r="F232" s="340"/>
      <c r="G232" s="486"/>
      <c r="H232" s="340"/>
      <c r="I232" s="355"/>
      <c r="J232" s="340"/>
      <c r="K232" s="340"/>
      <c r="L232" s="324"/>
      <c r="M232" s="345"/>
    </row>
    <row r="233" spans="2:15" ht="30">
      <c r="B233" s="329">
        <f>B231+1</f>
        <v>136</v>
      </c>
      <c r="C233" s="355"/>
      <c r="D233" s="366" t="s">
        <v>41</v>
      </c>
      <c r="E233" s="349" t="s">
        <v>343</v>
      </c>
      <c r="F233" s="349" t="s">
        <v>184</v>
      </c>
      <c r="G233" s="487" t="s">
        <v>214</v>
      </c>
      <c r="H233" s="423" t="s">
        <v>118</v>
      </c>
      <c r="I233" s="358"/>
      <c r="J233" s="327"/>
      <c r="K233" s="327"/>
      <c r="L233" s="327"/>
      <c r="M233" s="345"/>
    </row>
    <row r="234" spans="2:15">
      <c r="B234" s="329">
        <f t="shared" ref="B234:B239" si="11">+B233+1</f>
        <v>137</v>
      </c>
      <c r="C234" s="355"/>
      <c r="D234" s="366" t="s">
        <v>126</v>
      </c>
      <c r="E234" s="327" t="s">
        <v>431</v>
      </c>
      <c r="F234" s="841">
        <v>55240102</v>
      </c>
      <c r="G234" s="841">
        <v>28580546</v>
      </c>
      <c r="H234" s="392">
        <f>+F234+G234</f>
        <v>83820648</v>
      </c>
      <c r="I234" s="358" t="s">
        <v>127</v>
      </c>
      <c r="J234" s="350">
        <v>0</v>
      </c>
      <c r="K234" s="488"/>
      <c r="L234" s="409">
        <f>(F234+G234)*J234</f>
        <v>0</v>
      </c>
      <c r="M234" s="345"/>
    </row>
    <row r="235" spans="2:15">
      <c r="B235" s="329">
        <f t="shared" si="11"/>
        <v>138</v>
      </c>
      <c r="C235" s="355"/>
      <c r="D235" s="398" t="s">
        <v>128</v>
      </c>
      <c r="E235" s="345" t="s">
        <v>12</v>
      </c>
      <c r="F235" s="841">
        <v>173522</v>
      </c>
      <c r="G235" s="841">
        <v>17335101</v>
      </c>
      <c r="H235" s="392">
        <f>+F235+G235</f>
        <v>17508623</v>
      </c>
      <c r="I235" s="355" t="s">
        <v>120</v>
      </c>
      <c r="J235" s="350">
        <f>L231</f>
        <v>0.97784667510934209</v>
      </c>
      <c r="K235" s="488"/>
      <c r="L235" s="409">
        <f>(F235+G235)*J235</f>
        <v>17120748.786292955</v>
      </c>
      <c r="M235" s="345"/>
    </row>
    <row r="236" spans="2:15">
      <c r="B236" s="329">
        <f t="shared" si="11"/>
        <v>139</v>
      </c>
      <c r="C236" s="355"/>
      <c r="D236" s="398" t="s">
        <v>226</v>
      </c>
      <c r="E236" s="327" t="s">
        <v>466</v>
      </c>
      <c r="F236" s="841">
        <v>0</v>
      </c>
      <c r="G236" s="841">
        <v>0</v>
      </c>
      <c r="H236" s="392">
        <f>+F236+G236</f>
        <v>0</v>
      </c>
      <c r="I236" s="358" t="s">
        <v>127</v>
      </c>
      <c r="J236" s="350">
        <v>0</v>
      </c>
      <c r="K236" s="488"/>
      <c r="L236" s="409">
        <f>(F236+G236)*J236</f>
        <v>0</v>
      </c>
      <c r="M236" s="345"/>
    </row>
    <row r="237" spans="2:15">
      <c r="B237" s="329">
        <f t="shared" si="11"/>
        <v>140</v>
      </c>
      <c r="C237" s="355"/>
      <c r="D237" s="398" t="s">
        <v>130</v>
      </c>
      <c r="E237" s="327" t="s">
        <v>429</v>
      </c>
      <c r="F237" s="841">
        <v>37691028</v>
      </c>
      <c r="G237" s="841">
        <v>4929573</v>
      </c>
      <c r="H237" s="392">
        <f>+F237+G237</f>
        <v>42620601</v>
      </c>
      <c r="I237" s="358" t="s">
        <v>127</v>
      </c>
      <c r="J237" s="350">
        <v>0</v>
      </c>
      <c r="K237" s="488"/>
      <c r="L237" s="409">
        <f>(F237+G237)*J237</f>
        <v>0</v>
      </c>
      <c r="M237" s="345"/>
    </row>
    <row r="238" spans="2:15" ht="15.75" thickBot="1">
      <c r="B238" s="329">
        <f t="shared" si="11"/>
        <v>141</v>
      </c>
      <c r="C238" s="355"/>
      <c r="D238" s="398" t="s">
        <v>201</v>
      </c>
      <c r="E238" s="327" t="s">
        <v>430</v>
      </c>
      <c r="F238" s="842">
        <v>9374124</v>
      </c>
      <c r="G238" s="842">
        <v>8826904</v>
      </c>
      <c r="H238" s="489">
        <f>+F238+G238</f>
        <v>18201028</v>
      </c>
      <c r="I238" s="358" t="s">
        <v>127</v>
      </c>
      <c r="J238" s="350">
        <v>0</v>
      </c>
      <c r="K238" s="488"/>
      <c r="L238" s="418">
        <f>(F238+G238)*J238</f>
        <v>0</v>
      </c>
      <c r="M238" s="345"/>
    </row>
    <row r="239" spans="2:15" ht="15.75">
      <c r="B239" s="329">
        <f t="shared" si="11"/>
        <v>142</v>
      </c>
      <c r="C239" s="355"/>
      <c r="D239" s="398" t="s">
        <v>118</v>
      </c>
      <c r="E239" s="398" t="str">
        <f>"(sum lns "&amp;B234&amp;" to "&amp;B238&amp;")"</f>
        <v>(sum lns 137 to 141)</v>
      </c>
      <c r="F239" s="345">
        <f>SUM(F234:F238)</f>
        <v>102478776</v>
      </c>
      <c r="G239" s="345">
        <f>SUM(G234:G238)</f>
        <v>59672124</v>
      </c>
      <c r="H239" s="345">
        <f>SUM(H234:H238)</f>
        <v>162150900</v>
      </c>
      <c r="I239" s="358"/>
      <c r="J239" s="327"/>
      <c r="K239" s="327"/>
      <c r="L239" s="409">
        <f>SUM(L234:L238)</f>
        <v>17120748.786292955</v>
      </c>
      <c r="M239" s="490"/>
    </row>
    <row r="240" spans="2:15">
      <c r="B240" s="329"/>
      <c r="C240" s="355"/>
      <c r="D240" s="398" t="s">
        <v>114</v>
      </c>
      <c r="E240" s="345" t="s">
        <v>114</v>
      </c>
      <c r="F240" s="345"/>
      <c r="G240" s="320"/>
      <c r="H240" s="345"/>
      <c r="I240" s="422"/>
      <c r="M240" s="320"/>
    </row>
    <row r="241" spans="2:20" ht="15.75">
      <c r="B241" s="329">
        <f>B239+1</f>
        <v>143</v>
      </c>
      <c r="C241" s="330"/>
      <c r="D241" s="391" t="s">
        <v>42</v>
      </c>
      <c r="E241" s="345"/>
      <c r="F241" s="345"/>
      <c r="G241" s="345"/>
      <c r="H241" s="345"/>
      <c r="I241" s="422"/>
      <c r="K241" s="491" t="s">
        <v>43</v>
      </c>
      <c r="L241" s="492">
        <f>L239/(F239+G239)</f>
        <v>0.10558528374676276</v>
      </c>
      <c r="M241" s="320"/>
    </row>
    <row r="242" spans="2:20">
      <c r="B242" s="329"/>
      <c r="C242" s="330"/>
      <c r="D242" s="391"/>
      <c r="E242" s="345"/>
      <c r="F242" s="345"/>
      <c r="G242" s="345"/>
      <c r="H242" s="345"/>
      <c r="I242" s="358"/>
      <c r="J242" s="327"/>
      <c r="K242" s="327"/>
      <c r="L242" s="327"/>
      <c r="M242" s="345"/>
    </row>
    <row r="243" spans="2:20" ht="15.75">
      <c r="B243" s="329"/>
      <c r="C243" s="330"/>
      <c r="D243" s="391"/>
      <c r="E243" s="470"/>
      <c r="F243" s="327"/>
      <c r="H243" s="327"/>
      <c r="I243" s="327"/>
      <c r="J243" s="327"/>
      <c r="K243" s="389"/>
      <c r="L243" s="493"/>
      <c r="M243" s="345"/>
    </row>
    <row r="244" spans="2:20" ht="15.75" thickBot="1">
      <c r="B244" s="329">
        <f>+B241+1</f>
        <v>144</v>
      </c>
      <c r="C244" s="355"/>
      <c r="D244" s="398" t="s">
        <v>198</v>
      </c>
      <c r="E244" s="345"/>
      <c r="F244" s="345"/>
      <c r="G244" s="345"/>
      <c r="H244" s="345"/>
      <c r="I244" s="345"/>
      <c r="J244" s="345"/>
      <c r="K244" s="345"/>
      <c r="L244" s="494" t="s">
        <v>144</v>
      </c>
      <c r="M244" s="345"/>
    </row>
    <row r="245" spans="2:20">
      <c r="B245" s="329">
        <f t="shared" ref="B245:B252" si="12">+B244+1</f>
        <v>145</v>
      </c>
      <c r="C245" s="355"/>
      <c r="D245" s="345" t="s">
        <v>219</v>
      </c>
      <c r="E245" s="320" t="str">
        <f>"(Worksheet M, ln. "&amp;'WS M - Cost of Capital'!A56&amp;", col. "&amp;'WS M - Cost of Capital'!E47&amp;")"</f>
        <v>(Worksheet M, ln. 37, col. (d))</v>
      </c>
      <c r="F245" s="345"/>
      <c r="G245" s="345"/>
      <c r="H245" s="345"/>
      <c r="I245" s="345"/>
      <c r="J245" s="345"/>
      <c r="K245" s="345"/>
      <c r="L245" s="363">
        <f>'WS M - Cost of Capital'!E56</f>
        <v>219384884</v>
      </c>
      <c r="M245" s="345"/>
    </row>
    <row r="246" spans="2:20">
      <c r="B246" s="329">
        <f t="shared" si="12"/>
        <v>146</v>
      </c>
      <c r="C246" s="355"/>
      <c r="D246" s="345" t="s">
        <v>220</v>
      </c>
      <c r="E246" s="320" t="str">
        <f>"(Worksheet M, ln. "&amp;'WS M - Cost of Capital'!A103&amp;")"</f>
        <v>(Worksheet M, ln. 71)</v>
      </c>
      <c r="F246" s="345"/>
      <c r="G246" s="345"/>
      <c r="H246" s="345"/>
      <c r="I246" s="345"/>
      <c r="J246" s="345"/>
      <c r="K246" s="345"/>
      <c r="L246" s="363">
        <f>'WS M - Cost of Capital'!E103</f>
        <v>0</v>
      </c>
      <c r="M246" s="345"/>
    </row>
    <row r="247" spans="2:20">
      <c r="B247" s="329">
        <f t="shared" si="12"/>
        <v>147</v>
      </c>
      <c r="C247" s="355"/>
      <c r="D247" s="495" t="s">
        <v>242</v>
      </c>
      <c r="E247" s="345"/>
      <c r="F247" s="345"/>
      <c r="G247" s="345"/>
      <c r="H247" s="413"/>
      <c r="I247" s="345"/>
      <c r="J247" s="345"/>
      <c r="K247" s="345"/>
      <c r="L247" s="363"/>
      <c r="M247" s="345"/>
    </row>
    <row r="248" spans="2:20">
      <c r="B248" s="329">
        <f t="shared" si="12"/>
        <v>148</v>
      </c>
      <c r="C248" s="355"/>
      <c r="D248" s="345" t="s">
        <v>243</v>
      </c>
      <c r="E248" s="522" t="str">
        <f>"(Worksheet M, ln. "&amp;'WS M - Cost of Capital'!A23&amp;", col. "&amp;'WS M - Cost of Capital'!C8&amp;")"</f>
        <v>(Worksheet M, ln. 14, col. (b))</v>
      </c>
      <c r="F248" s="345"/>
      <c r="G248" s="340"/>
      <c r="H248" s="415"/>
      <c r="I248" s="345"/>
      <c r="J248" s="345"/>
      <c r="K248" s="345"/>
      <c r="L248" s="363">
        <f>'WS M - Cost of Capital'!C23</f>
        <v>4268842393.7127695</v>
      </c>
      <c r="M248" s="345"/>
    </row>
    <row r="249" spans="2:20">
      <c r="B249" s="329">
        <f t="shared" si="12"/>
        <v>149</v>
      </c>
      <c r="C249" s="355"/>
      <c r="D249" s="345" t="s">
        <v>368</v>
      </c>
      <c r="E249" s="522" t="str">
        <f>"(Worksheet M, ln. "&amp;'WS M - Cost of Capital'!A23&amp;", col. "&amp;'WS M - Cost of Capital'!D8&amp;")"</f>
        <v>(Worksheet M, ln. 14, col. (c))</v>
      </c>
      <c r="F249" s="345"/>
      <c r="G249" s="345"/>
      <c r="H249" s="415"/>
      <c r="I249" s="345"/>
      <c r="J249" s="345"/>
      <c r="K249" s="345"/>
      <c r="L249" s="392">
        <f>'WS M - Cost of Capital'!D23</f>
        <v>0</v>
      </c>
      <c r="M249" s="345"/>
    </row>
    <row r="250" spans="2:20">
      <c r="B250" s="329">
        <f>+B249+1</f>
        <v>150</v>
      </c>
      <c r="C250" s="355"/>
      <c r="D250" s="345" t="s">
        <v>361</v>
      </c>
      <c r="E250" s="522" t="str">
        <f>"(Worksheet M, ln. "&amp;'WS M - Cost of Capital'!A23&amp;", col. "&amp;'WS M - Cost of Capital'!E8&amp;")"</f>
        <v>(Worksheet M, ln. 14, col. (d))</v>
      </c>
      <c r="F250" s="345"/>
      <c r="G250" s="345"/>
      <c r="H250" s="415"/>
      <c r="I250" s="345"/>
      <c r="J250" s="345"/>
      <c r="K250" s="345"/>
      <c r="L250" s="392">
        <f>'WS M - Cost of Capital'!E23</f>
        <v>-3463212.6300000004</v>
      </c>
      <c r="M250" s="345"/>
    </row>
    <row r="251" spans="2:20" ht="15.75" thickBot="1">
      <c r="B251" s="329">
        <f t="shared" si="12"/>
        <v>151</v>
      </c>
      <c r="C251" s="355"/>
      <c r="D251" s="345" t="s">
        <v>367</v>
      </c>
      <c r="E251" s="522" t="str">
        <f>"(Worksheet M, ln. "&amp;'WS M - Cost of Capital'!A23&amp;", col. "&amp;'WS M - Cost of Capital'!F8&amp;")"</f>
        <v>(Worksheet M, ln. 14, col. (e))</v>
      </c>
      <c r="F251" s="345"/>
      <c r="G251" s="345"/>
      <c r="H251" s="415"/>
      <c r="I251" s="345"/>
      <c r="J251" s="416"/>
      <c r="K251" s="345"/>
      <c r="L251" s="489">
        <f>'WS M - Cost of Capital'!F23</f>
        <v>738587.77692307695</v>
      </c>
      <c r="M251" s="345"/>
    </row>
    <row r="252" spans="2:20">
      <c r="B252" s="329">
        <f t="shared" si="12"/>
        <v>152</v>
      </c>
      <c r="C252" s="355"/>
      <c r="D252" s="315" t="s">
        <v>244</v>
      </c>
      <c r="E252" s="345" t="str">
        <f>"(ln "&amp;B248&amp;" - ln "&amp;B249&amp;" - ln "&amp;B250&amp;" - ln "&amp;B251&amp;")"</f>
        <v>(ln 148 - ln 149 - ln 150 - ln 151)</v>
      </c>
      <c r="F252" s="496"/>
      <c r="G252" s="320"/>
      <c r="H252" s="340"/>
      <c r="I252" s="340"/>
      <c r="J252" s="340"/>
      <c r="K252" s="340"/>
      <c r="L252" s="363">
        <f>+L248-L249-L250-L251</f>
        <v>4271567018.5658464</v>
      </c>
      <c r="M252" s="327"/>
    </row>
    <row r="253" spans="2:20" ht="15.75">
      <c r="B253" s="329"/>
      <c r="C253" s="355"/>
      <c r="D253" s="398"/>
      <c r="E253" s="345"/>
      <c r="F253" s="345"/>
      <c r="G253" s="1467" t="s">
        <v>988</v>
      </c>
      <c r="H253" s="1467"/>
      <c r="I253" s="497"/>
      <c r="J253" s="498" t="s">
        <v>145</v>
      </c>
      <c r="K253" s="345"/>
      <c r="L253" s="345"/>
      <c r="M253" s="327"/>
    </row>
    <row r="254" spans="2:20" ht="15.75" thickBot="1">
      <c r="B254" s="329">
        <f>+B252+1</f>
        <v>153</v>
      </c>
      <c r="C254" s="355"/>
      <c r="D254" s="398"/>
      <c r="F254" s="345"/>
      <c r="G254" s="499" t="s">
        <v>144</v>
      </c>
      <c r="H254" s="499" t="s">
        <v>146</v>
      </c>
      <c r="I254" s="494" t="s">
        <v>987</v>
      </c>
      <c r="J254" s="500" t="s">
        <v>427</v>
      </c>
      <c r="K254" s="345"/>
      <c r="L254" s="499" t="s">
        <v>147</v>
      </c>
      <c r="M254" s="327"/>
      <c r="N254" s="321"/>
      <c r="O254" s="321"/>
      <c r="P254" s="321"/>
      <c r="Q254" s="321"/>
      <c r="R254" s="321"/>
      <c r="S254" s="321"/>
      <c r="T254" s="321"/>
    </row>
    <row r="255" spans="2:20">
      <c r="B255" s="329">
        <f>+B254+1</f>
        <v>154</v>
      </c>
      <c r="C255" s="355"/>
      <c r="D255" s="522" t="str">
        <f>"  Long Term Debt  (Note T) Worksheet M, ln "&amp;'WS M - Cost of Capital'!A42&amp;", col. (g), ln "&amp;'WS M - Cost of Capital'!A58&amp;", col. "&amp;'WS M - Cost of Capital'!E47&amp;")"</f>
        <v xml:space="preserve">  Long Term Debt  (Note T) Worksheet M, ln 28, col. (g), ln 38, col. (d))</v>
      </c>
      <c r="E255" s="522"/>
      <c r="F255" s="345"/>
      <c r="G255" s="363">
        <f>'WS M - Cost of Capital'!H42</f>
        <v>4693378370.1430769</v>
      </c>
      <c r="H255" s="1296">
        <f>IF($G$258&gt;0,G255/$G$258,0)</f>
        <v>0.52352559515356833</v>
      </c>
      <c r="I255" s="501">
        <f>IF(H257&gt;E260,1-I256-I257,H255)</f>
        <v>0.52352559515356833</v>
      </c>
      <c r="J255" s="416">
        <f>'WS M - Cost of Capital'!E58</f>
        <v>4.6743489805896918E-2</v>
      </c>
      <c r="K255" s="320"/>
      <c r="L255" s="503">
        <f>I255*J255</f>
        <v>2.4471413320186937E-2</v>
      </c>
      <c r="M255" s="504"/>
      <c r="N255" s="321"/>
      <c r="O255" s="321"/>
      <c r="P255" s="321"/>
      <c r="Q255" s="321"/>
      <c r="R255" s="321"/>
      <c r="S255" s="321"/>
      <c r="T255" s="321"/>
    </row>
    <row r="256" spans="2:20">
      <c r="B256" s="329">
        <f>+B255+1</f>
        <v>155</v>
      </c>
      <c r="C256" s="355"/>
      <c r="D256" s="398" t="str">
        <f>"  Preferred Stock (ln "&amp;B249&amp;")"</f>
        <v xml:space="preserve">  Preferred Stock (ln 149)</v>
      </c>
      <c r="F256" s="320"/>
      <c r="G256" s="363">
        <f>+L249</f>
        <v>0</v>
      </c>
      <c r="H256" s="501">
        <f>IF($G$258&gt;0,G256/$G$258,0)</f>
        <v>0</v>
      </c>
      <c r="I256" s="501">
        <f>H256</f>
        <v>0</v>
      </c>
      <c r="J256" s="502">
        <f>IF(G256&gt;0,L246/G256,0)</f>
        <v>0</v>
      </c>
      <c r="K256" s="320"/>
      <c r="L256" s="505">
        <f>I256*J256</f>
        <v>0</v>
      </c>
      <c r="M256" s="327"/>
    </row>
    <row r="257" spans="2:20" ht="15.75" thickBot="1">
      <c r="B257" s="329">
        <f>+B256+1</f>
        <v>156</v>
      </c>
      <c r="C257" s="355"/>
      <c r="D257" s="398" t="str">
        <f>"  Common Stock (ln "&amp;B252&amp;")"</f>
        <v xml:space="preserve">  Common Stock (ln 152)</v>
      </c>
      <c r="F257" s="320"/>
      <c r="G257" s="399">
        <f>+L252</f>
        <v>4271567018.5658464</v>
      </c>
      <c r="H257" s="501">
        <f>IF($G$258&gt;0,G257/$G$258,0)</f>
        <v>0.47647440484643167</v>
      </c>
      <c r="I257" s="501">
        <f>IF(H257&gt;E260,E260,H257)</f>
        <v>0.47647440484643167</v>
      </c>
      <c r="J257" s="843">
        <v>0.10349999999999999</v>
      </c>
      <c r="K257" s="320"/>
      <c r="L257" s="506">
        <f>I257*J257</f>
        <v>4.9315100901605673E-2</v>
      </c>
      <c r="M257" s="327"/>
    </row>
    <row r="258" spans="2:20" ht="15.75">
      <c r="B258" s="329">
        <f>+B257+1</f>
        <v>157</v>
      </c>
      <c r="C258" s="355"/>
      <c r="D258" s="398" t="str">
        <f>" Total (Sum lns "&amp;B255&amp;" to "&amp;B257&amp;")"</f>
        <v xml:space="preserve"> Total (Sum lns 154 to 156)</v>
      </c>
      <c r="F258" s="320"/>
      <c r="G258" s="363">
        <f>G257+G256+G255</f>
        <v>8964945388.7089233</v>
      </c>
      <c r="I258" s="497"/>
      <c r="J258" s="507"/>
      <c r="K258" s="411" t="s">
        <v>25</v>
      </c>
      <c r="L258" s="508">
        <f>SUM(L255:L257)</f>
        <v>7.378651422179261E-2</v>
      </c>
      <c r="M258" s="509"/>
    </row>
    <row r="259" spans="2:20" ht="15.75">
      <c r="B259" s="329"/>
      <c r="C259" s="355"/>
      <c r="D259" s="398"/>
      <c r="F259" s="320"/>
      <c r="G259" s="363"/>
      <c r="I259" s="497"/>
      <c r="J259" s="507"/>
      <c r="K259" s="411"/>
      <c r="L259" s="508"/>
      <c r="M259" s="509"/>
    </row>
    <row r="260" spans="2:20">
      <c r="B260" s="354">
        <f>B258+1</f>
        <v>158</v>
      </c>
      <c r="C260" s="516"/>
      <c r="D260" s="516" t="s">
        <v>989</v>
      </c>
      <c r="E260" s="1300">
        <v>0.55000000000000004</v>
      </c>
      <c r="F260" s="332"/>
      <c r="G260" s="332"/>
      <c r="H260" s="332"/>
      <c r="I260" s="332"/>
      <c r="J260" s="327"/>
      <c r="K260" s="324"/>
      <c r="L260" s="327"/>
      <c r="M260" s="324"/>
      <c r="N260" s="340"/>
      <c r="O260" s="340"/>
      <c r="P260" s="340"/>
      <c r="Q260" s="340"/>
      <c r="R260" s="340"/>
      <c r="S260" s="340"/>
      <c r="T260" s="340"/>
    </row>
    <row r="261" spans="2:20" ht="15.75">
      <c r="B261" s="420"/>
      <c r="C261" s="330"/>
      <c r="D261" s="317"/>
      <c r="E261" s="317"/>
      <c r="F261" s="422" t="str">
        <f>F216</f>
        <v xml:space="preserve">AEP East Companies </v>
      </c>
      <c r="G261" s="318"/>
      <c r="H261" s="327"/>
      <c r="I261" s="327"/>
      <c r="J261" s="327"/>
      <c r="K261" s="324"/>
      <c r="L261" s="327"/>
      <c r="M261" s="510"/>
      <c r="N261" s="340"/>
      <c r="O261" s="340"/>
      <c r="P261" s="340"/>
      <c r="Q261" s="340"/>
      <c r="R261" s="340"/>
      <c r="S261" s="340"/>
      <c r="T261" s="340"/>
    </row>
    <row r="262" spans="2:20">
      <c r="B262" s="420"/>
      <c r="C262" s="330"/>
      <c r="D262" s="511"/>
      <c r="E262" s="330"/>
      <c r="F262" s="422" t="str">
        <f>F217</f>
        <v>Transmission Cost of Service Formula Rate</v>
      </c>
      <c r="G262" s="327"/>
      <c r="H262" s="327"/>
      <c r="I262" s="327"/>
      <c r="J262" s="327"/>
      <c r="K262" s="324"/>
      <c r="L262" s="343"/>
      <c r="M262" s="380"/>
      <c r="N262" s="340"/>
      <c r="O262" s="340"/>
      <c r="P262" s="340"/>
      <c r="Q262" s="340"/>
      <c r="R262" s="340"/>
      <c r="S262" s="340"/>
      <c r="T262" s="340"/>
    </row>
    <row r="263" spans="2:20" ht="15.75">
      <c r="B263" s="420"/>
      <c r="C263" s="330"/>
      <c r="D263" s="511"/>
      <c r="E263" s="426"/>
      <c r="F263" s="422" t="str">
        <f>F218</f>
        <v>Utilizing  Actual/Projected FERC Form 1 Data</v>
      </c>
      <c r="G263" s="327"/>
      <c r="H263" s="327"/>
      <c r="I263" s="327"/>
      <c r="J263" s="327"/>
      <c r="K263" s="324"/>
      <c r="L263" s="343"/>
      <c r="M263" s="510"/>
      <c r="N263" s="340"/>
      <c r="O263" s="340"/>
      <c r="P263" s="340"/>
      <c r="Q263" s="340"/>
      <c r="R263" s="340"/>
      <c r="S263" s="340"/>
      <c r="T263" s="340"/>
    </row>
    <row r="264" spans="2:20" ht="15.75">
      <c r="B264" s="329"/>
      <c r="C264" s="330"/>
      <c r="D264" s="511"/>
      <c r="E264" s="426"/>
      <c r="F264" s="422"/>
      <c r="G264" s="327"/>
      <c r="H264" s="327"/>
      <c r="I264" s="327"/>
      <c r="J264" s="327"/>
      <c r="K264" s="324"/>
      <c r="L264" s="343"/>
      <c r="M264" s="320"/>
      <c r="N264" s="340"/>
      <c r="O264" s="340"/>
      <c r="P264" s="340"/>
      <c r="Q264" s="340"/>
      <c r="R264" s="340"/>
      <c r="S264" s="340"/>
      <c r="T264" s="340"/>
    </row>
    <row r="265" spans="2:20" ht="15.75">
      <c r="B265" s="329"/>
      <c r="C265" s="330"/>
      <c r="D265" s="511"/>
      <c r="E265" s="426"/>
      <c r="F265" s="422" t="str">
        <f>F220</f>
        <v>Appalachian Power Company</v>
      </c>
      <c r="G265" s="327"/>
      <c r="H265" s="327"/>
      <c r="I265" s="327"/>
      <c r="J265" s="327"/>
      <c r="K265" s="324"/>
      <c r="L265" s="343"/>
      <c r="M265" s="320"/>
      <c r="N265" s="340"/>
      <c r="O265" s="340"/>
      <c r="P265" s="340"/>
      <c r="Q265" s="340"/>
      <c r="R265" s="340"/>
      <c r="S265" s="340"/>
      <c r="T265" s="340"/>
    </row>
    <row r="266" spans="2:20" ht="15.75">
      <c r="B266" s="329"/>
      <c r="C266" s="330"/>
      <c r="D266" s="511"/>
      <c r="E266" s="426"/>
      <c r="F266" s="422"/>
      <c r="G266" s="327"/>
      <c r="H266" s="327"/>
      <c r="I266" s="327"/>
      <c r="J266" s="327"/>
      <c r="K266" s="324"/>
      <c r="L266" s="343"/>
      <c r="M266" s="320"/>
      <c r="N266" s="340"/>
      <c r="O266" s="340"/>
      <c r="P266" s="340"/>
      <c r="Q266" s="340"/>
      <c r="R266" s="340"/>
      <c r="S266" s="340"/>
      <c r="T266" s="340"/>
    </row>
    <row r="267" spans="2:20" ht="15.75">
      <c r="B267" s="512" t="s">
        <v>176</v>
      </c>
      <c r="C267" s="337"/>
      <c r="D267" s="366"/>
      <c r="E267" s="340"/>
      <c r="F267" s="512" t="s">
        <v>175</v>
      </c>
      <c r="G267" s="345"/>
      <c r="H267" s="345"/>
      <c r="I267" s="345"/>
      <c r="J267" s="345"/>
      <c r="K267" s="340"/>
      <c r="L267" s="345"/>
      <c r="M267" s="320"/>
      <c r="N267" s="340"/>
      <c r="O267" s="340"/>
      <c r="P267" s="340"/>
      <c r="Q267" s="340"/>
      <c r="R267" s="340"/>
      <c r="S267" s="340"/>
      <c r="T267" s="340"/>
    </row>
    <row r="268" spans="2:20">
      <c r="C268" s="337"/>
      <c r="L268" s="343"/>
      <c r="M268" s="320"/>
      <c r="N268" s="340"/>
      <c r="O268" s="340"/>
      <c r="P268" s="340"/>
      <c r="Q268" s="340"/>
      <c r="R268" s="340"/>
      <c r="S268" s="340"/>
      <c r="T268" s="340"/>
    </row>
    <row r="269" spans="2:20">
      <c r="B269" s="329"/>
      <c r="C269" s="330"/>
      <c r="D269" s="321" t="s">
        <v>5</v>
      </c>
      <c r="E269" s="355"/>
      <c r="F269" s="355"/>
      <c r="G269" s="345"/>
      <c r="H269" s="345"/>
      <c r="I269" s="345"/>
      <c r="J269" s="345"/>
      <c r="K269" s="340"/>
      <c r="L269" s="345"/>
      <c r="M269" s="340"/>
      <c r="N269" s="340"/>
      <c r="O269" s="340"/>
      <c r="P269" s="340"/>
      <c r="Q269" s="340"/>
      <c r="R269" s="340"/>
      <c r="S269" s="340"/>
      <c r="T269" s="340"/>
    </row>
    <row r="270" spans="2:20">
      <c r="B270" s="315"/>
      <c r="D270" s="366"/>
      <c r="E270" s="340"/>
      <c r="F270" s="340"/>
      <c r="G270" s="345"/>
      <c r="H270" s="345"/>
      <c r="I270" s="345"/>
      <c r="J270" s="345"/>
      <c r="K270" s="340"/>
      <c r="L270" s="345"/>
      <c r="M270" s="340"/>
      <c r="N270" s="340"/>
      <c r="O270" s="340"/>
      <c r="P270" s="340"/>
      <c r="Q270" s="340"/>
      <c r="R270" s="340"/>
      <c r="S270" s="340"/>
      <c r="T270" s="340"/>
    </row>
    <row r="271" spans="2:20" ht="3.75" customHeight="1">
      <c r="B271" s="315"/>
      <c r="D271" s="366"/>
      <c r="E271" s="340"/>
      <c r="F271" s="340"/>
      <c r="G271" s="345"/>
      <c r="H271" s="345"/>
      <c r="I271" s="345"/>
      <c r="J271" s="345"/>
      <c r="K271" s="340"/>
      <c r="L271" s="345"/>
      <c r="M271" s="340"/>
      <c r="N271" s="340"/>
      <c r="O271" s="340"/>
      <c r="P271" s="340"/>
      <c r="Q271" s="340"/>
      <c r="R271" s="340"/>
      <c r="S271" s="340"/>
      <c r="T271" s="340"/>
    </row>
    <row r="272" spans="2:20">
      <c r="B272" s="513" t="s">
        <v>148</v>
      </c>
      <c r="C272" s="337"/>
      <c r="D272" s="366" t="s">
        <v>477</v>
      </c>
      <c r="E272" s="340"/>
      <c r="F272" s="340"/>
      <c r="G272" s="345"/>
      <c r="H272" s="345"/>
      <c r="I272" s="345"/>
      <c r="J272" s="345"/>
      <c r="K272" s="340"/>
      <c r="L272" s="345"/>
      <c r="M272" s="340"/>
      <c r="N272" s="340"/>
      <c r="O272" s="340"/>
      <c r="P272" s="340"/>
      <c r="Q272" s="340"/>
      <c r="R272" s="340"/>
      <c r="S272" s="340"/>
      <c r="T272" s="340"/>
    </row>
    <row r="273" spans="2:20">
      <c r="B273" s="513"/>
      <c r="C273" s="423"/>
      <c r="D273" s="366" t="s">
        <v>369</v>
      </c>
      <c r="E273" s="340"/>
      <c r="F273" s="340"/>
      <c r="G273" s="340"/>
      <c r="H273" s="340"/>
      <c r="I273" s="340"/>
      <c r="J273" s="340"/>
      <c r="K273" s="340"/>
      <c r="L273" s="340"/>
      <c r="M273" s="340"/>
      <c r="N273" s="340"/>
      <c r="O273" s="340"/>
      <c r="P273" s="340"/>
      <c r="Q273" s="340"/>
      <c r="R273" s="340"/>
      <c r="S273" s="340"/>
      <c r="T273" s="340"/>
    </row>
    <row r="274" spans="2:20">
      <c r="B274" s="514"/>
      <c r="C274" s="320"/>
      <c r="D274" s="315" t="s">
        <v>370</v>
      </c>
      <c r="E274" s="515"/>
      <c r="F274" s="515"/>
      <c r="G274" s="340"/>
      <c r="H274" s="340"/>
      <c r="I274" s="340"/>
      <c r="J274" s="340"/>
      <c r="K274" s="340"/>
      <c r="L274" s="340"/>
      <c r="M274" s="340"/>
      <c r="N274" s="340"/>
      <c r="O274" s="340"/>
      <c r="P274" s="340"/>
      <c r="Q274" s="340"/>
      <c r="R274" s="340"/>
      <c r="S274" s="340"/>
      <c r="T274" s="340"/>
    </row>
    <row r="275" spans="2:20">
      <c r="B275" s="514"/>
      <c r="C275" s="320"/>
      <c r="D275" s="366" t="s">
        <v>478</v>
      </c>
      <c r="E275" s="340"/>
      <c r="F275" s="340"/>
      <c r="G275" s="340"/>
      <c r="H275" s="340"/>
      <c r="I275" s="340"/>
      <c r="J275" s="340"/>
      <c r="K275" s="340"/>
      <c r="L275" s="340"/>
      <c r="M275" s="340"/>
      <c r="N275" s="340"/>
      <c r="O275" s="340"/>
      <c r="P275" s="340"/>
      <c r="Q275" s="340"/>
      <c r="R275" s="340"/>
      <c r="S275" s="340"/>
      <c r="T275" s="340"/>
    </row>
    <row r="276" spans="2:20">
      <c r="B276" s="354"/>
      <c r="C276" s="355"/>
      <c r="D276" s="366" t="s">
        <v>479</v>
      </c>
      <c r="E276" s="340"/>
      <c r="F276" s="340"/>
      <c r="G276" s="340"/>
      <c r="H276" s="340"/>
      <c r="I276" s="340"/>
      <c r="J276" s="340"/>
      <c r="K276" s="340"/>
      <c r="L276" s="340"/>
      <c r="M276" s="340"/>
      <c r="N276" s="340"/>
      <c r="O276" s="340"/>
      <c r="P276" s="340"/>
      <c r="Q276" s="340"/>
      <c r="R276" s="340"/>
      <c r="S276" s="340"/>
      <c r="T276" s="340"/>
    </row>
    <row r="277" spans="2:20">
      <c r="B277" s="354"/>
      <c r="C277" s="355"/>
      <c r="D277" s="366" t="s">
        <v>371</v>
      </c>
      <c r="E277" s="340"/>
      <c r="F277" s="340"/>
      <c r="G277" s="340"/>
      <c r="H277" s="340"/>
      <c r="I277" s="340"/>
      <c r="J277" s="340"/>
      <c r="K277" s="340"/>
      <c r="L277" s="340"/>
      <c r="M277" s="340"/>
      <c r="N277" s="340"/>
      <c r="O277" s="340"/>
      <c r="P277" s="340"/>
      <c r="Q277" s="340"/>
      <c r="R277" s="340"/>
      <c r="S277" s="340"/>
      <c r="T277" s="340"/>
    </row>
    <row r="278" spans="2:20">
      <c r="B278" s="354"/>
      <c r="C278" s="355"/>
      <c r="D278" s="366" t="s">
        <v>372</v>
      </c>
      <c r="E278" s="340"/>
      <c r="F278" s="340"/>
      <c r="G278" s="340"/>
      <c r="H278" s="340"/>
      <c r="I278" s="340"/>
      <c r="J278" s="340"/>
      <c r="K278" s="340"/>
      <c r="L278" s="340"/>
      <c r="M278" s="340"/>
      <c r="N278" s="340"/>
      <c r="O278" s="340"/>
      <c r="P278" s="340"/>
      <c r="Q278" s="340"/>
      <c r="R278" s="340"/>
      <c r="S278" s="340"/>
      <c r="T278" s="340"/>
    </row>
    <row r="279" spans="2:20" ht="45" customHeight="1">
      <c r="B279" s="354"/>
      <c r="C279" s="355"/>
      <c r="D279" s="1478" t="s">
        <v>575</v>
      </c>
      <c r="E279" s="1478"/>
      <c r="F279" s="1478"/>
      <c r="G279" s="1478"/>
      <c r="H279" s="1478"/>
      <c r="I279" s="1478"/>
      <c r="J279" s="1478"/>
      <c r="K279" s="1478"/>
      <c r="L279" s="1478"/>
      <c r="M279" s="340"/>
      <c r="N279" s="340"/>
      <c r="O279" s="340"/>
      <c r="P279" s="340"/>
      <c r="Q279" s="340"/>
      <c r="R279" s="340"/>
      <c r="S279" s="340"/>
      <c r="T279" s="340"/>
    </row>
    <row r="280" spans="2:20">
      <c r="B280" s="354"/>
      <c r="C280" s="355"/>
      <c r="D280" s="366" t="s">
        <v>487</v>
      </c>
      <c r="E280" s="340"/>
      <c r="F280" s="340"/>
      <c r="G280" s="340"/>
      <c r="H280" s="340"/>
      <c r="I280" s="340"/>
      <c r="J280" s="340"/>
      <c r="K280" s="340"/>
      <c r="L280" s="340"/>
      <c r="M280" s="340"/>
      <c r="N280" s="340"/>
      <c r="O280" s="340"/>
      <c r="P280" s="340"/>
      <c r="Q280" s="340"/>
      <c r="R280" s="340"/>
      <c r="S280" s="340"/>
      <c r="T280" s="340"/>
    </row>
    <row r="281" spans="2:20">
      <c r="B281" s="354"/>
      <c r="C281" s="355"/>
      <c r="D281" s="516"/>
      <c r="E281" s="340"/>
      <c r="F281" s="340"/>
      <c r="G281" s="340"/>
      <c r="H281" s="340"/>
      <c r="I281" s="340"/>
      <c r="J281" s="340"/>
      <c r="K281" s="340"/>
      <c r="L281" s="366"/>
      <c r="M281" s="340"/>
      <c r="N281" s="340"/>
      <c r="O281" s="340"/>
      <c r="P281" s="340"/>
      <c r="Q281" s="340"/>
      <c r="R281" s="340"/>
      <c r="S281" s="340"/>
      <c r="T281" s="340"/>
    </row>
    <row r="282" spans="2:20" ht="15" customHeight="1">
      <c r="B282" s="354" t="s">
        <v>149</v>
      </c>
      <c r="C282" s="355"/>
      <c r="D282" s="1479" t="s">
        <v>594</v>
      </c>
      <c r="E282" s="1479"/>
      <c r="F282" s="1479"/>
      <c r="G282" s="1479"/>
      <c r="H282" s="1479"/>
      <c r="I282" s="1479"/>
      <c r="J282" s="1479"/>
      <c r="K282" s="1479"/>
      <c r="L282" s="366"/>
      <c r="M282" s="340"/>
      <c r="N282" s="340"/>
      <c r="O282" s="340"/>
      <c r="P282" s="340"/>
      <c r="Q282" s="340"/>
      <c r="R282" s="340"/>
      <c r="S282" s="340"/>
      <c r="T282" s="340"/>
    </row>
    <row r="283" spans="2:20">
      <c r="B283" s="354"/>
      <c r="C283" s="355"/>
      <c r="D283" s="1479"/>
      <c r="E283" s="1479"/>
      <c r="F283" s="1479"/>
      <c r="G283" s="1479"/>
      <c r="H283" s="1479"/>
      <c r="I283" s="1479"/>
      <c r="J283" s="1479"/>
      <c r="K283" s="1479"/>
      <c r="L283" s="366"/>
      <c r="M283" s="340"/>
      <c r="N283" s="340"/>
      <c r="O283" s="340"/>
      <c r="P283" s="340"/>
      <c r="Q283" s="340"/>
      <c r="R283" s="340"/>
      <c r="S283" s="340"/>
      <c r="T283" s="340"/>
    </row>
    <row r="284" spans="2:20">
      <c r="E284" s="340"/>
      <c r="F284" s="340"/>
      <c r="G284" s="340"/>
      <c r="H284" s="340"/>
      <c r="I284" s="340"/>
      <c r="J284" s="340"/>
      <c r="K284" s="340"/>
      <c r="L284" s="340"/>
      <c r="M284" s="340"/>
      <c r="N284" s="340"/>
      <c r="O284" s="340"/>
      <c r="P284" s="340"/>
      <c r="Q284" s="340"/>
      <c r="R284" s="340"/>
      <c r="S284" s="340"/>
      <c r="T284" s="340"/>
    </row>
    <row r="285" spans="2:20">
      <c r="B285" s="354" t="s">
        <v>150</v>
      </c>
      <c r="C285" s="355"/>
      <c r="D285" s="517" t="s">
        <v>868</v>
      </c>
      <c r="E285" s="340"/>
      <c r="F285" s="340"/>
      <c r="G285" s="340"/>
      <c r="H285" s="340"/>
      <c r="I285" s="340"/>
      <c r="J285" s="340"/>
      <c r="K285" s="340"/>
      <c r="L285" s="340"/>
      <c r="M285" s="340"/>
      <c r="N285" s="340"/>
      <c r="O285" s="340"/>
      <c r="P285" s="340"/>
      <c r="Q285" s="340"/>
      <c r="R285" s="340"/>
      <c r="S285" s="340"/>
      <c r="T285" s="340"/>
    </row>
    <row r="286" spans="2:20">
      <c r="B286" s="354"/>
      <c r="C286" s="355"/>
      <c r="D286" s="517"/>
      <c r="E286" s="340"/>
      <c r="F286" s="340"/>
      <c r="G286" s="340"/>
      <c r="H286" s="340"/>
      <c r="I286" s="340"/>
      <c r="J286" s="340"/>
      <c r="K286" s="340"/>
      <c r="L286" s="340"/>
      <c r="M286" s="340"/>
      <c r="N286" s="340"/>
      <c r="O286" s="340"/>
      <c r="P286" s="340"/>
      <c r="Q286" s="340"/>
      <c r="R286" s="340"/>
      <c r="S286" s="340"/>
      <c r="T286" s="340"/>
    </row>
    <row r="287" spans="2:20" ht="15.6" customHeight="1">
      <c r="B287" s="354" t="s">
        <v>151</v>
      </c>
      <c r="C287" s="355"/>
      <c r="D287" s="1478" t="s">
        <v>577</v>
      </c>
      <c r="E287" s="1478"/>
      <c r="F287" s="1478"/>
      <c r="G287" s="1478"/>
      <c r="H287" s="1478"/>
      <c r="I287" s="1478"/>
      <c r="J287" s="1478"/>
      <c r="K287" s="1478"/>
      <c r="L287" s="1478"/>
      <c r="M287" s="340"/>
      <c r="N287" s="340"/>
      <c r="O287" s="366"/>
      <c r="P287" s="366"/>
      <c r="Q287" s="340"/>
      <c r="R287" s="340"/>
      <c r="S287" s="340"/>
      <c r="T287" s="340"/>
    </row>
    <row r="288" spans="2:20">
      <c r="B288" s="354"/>
      <c r="C288" s="355"/>
      <c r="D288" s="1478"/>
      <c r="E288" s="1478"/>
      <c r="F288" s="1478"/>
      <c r="G288" s="1478"/>
      <c r="H288" s="1478"/>
      <c r="I288" s="1478"/>
      <c r="J288" s="1478"/>
      <c r="K288" s="1478"/>
      <c r="L288" s="1478"/>
      <c r="M288" s="340"/>
      <c r="N288" s="340"/>
      <c r="O288" s="366"/>
      <c r="P288" s="366"/>
      <c r="Q288" s="340"/>
      <c r="R288" s="340"/>
      <c r="S288" s="340"/>
      <c r="T288" s="340"/>
    </row>
    <row r="289" spans="2:20">
      <c r="B289" s="354"/>
      <c r="C289" s="355"/>
      <c r="D289" s="366" t="s">
        <v>578</v>
      </c>
      <c r="E289" s="340"/>
      <c r="F289" s="340"/>
      <c r="G289" s="340"/>
      <c r="H289" s="340"/>
      <c r="I289" s="340"/>
      <c r="J289" s="340"/>
      <c r="K289" s="340"/>
      <c r="L289" s="473"/>
      <c r="M289" s="340"/>
      <c r="N289" s="340"/>
      <c r="O289" s="366"/>
      <c r="P289" s="366"/>
      <c r="Q289" s="340"/>
      <c r="R289" s="340"/>
      <c r="S289" s="340"/>
      <c r="T289" s="340"/>
    </row>
    <row r="290" spans="2:20">
      <c r="B290" s="354"/>
      <c r="C290" s="355"/>
      <c r="D290" s="366" t="s">
        <v>579</v>
      </c>
      <c r="E290" s="340"/>
      <c r="F290" s="340"/>
      <c r="G290" s="340"/>
      <c r="H290" s="340"/>
      <c r="I290" s="340"/>
      <c r="J290" s="340"/>
      <c r="K290" s="340"/>
      <c r="L290" s="473"/>
      <c r="M290" s="340"/>
      <c r="N290" s="340"/>
      <c r="O290" s="366"/>
      <c r="P290" s="340"/>
      <c r="Q290" s="340"/>
      <c r="R290" s="340"/>
      <c r="S290" s="340"/>
      <c r="T290" s="340"/>
    </row>
    <row r="291" spans="2:20" ht="30" customHeight="1">
      <c r="B291" s="354"/>
      <c r="C291" s="355"/>
      <c r="D291" s="1478" t="s">
        <v>576</v>
      </c>
      <c r="E291" s="1478"/>
      <c r="F291" s="1478"/>
      <c r="G291" s="1478"/>
      <c r="H291" s="1478"/>
      <c r="I291" s="1478"/>
      <c r="J291" s="1478"/>
      <c r="K291" s="1478"/>
      <c r="L291" s="1478"/>
      <c r="M291" s="340"/>
      <c r="N291" s="340"/>
      <c r="O291" s="366"/>
      <c r="P291" s="340"/>
      <c r="Q291" s="340"/>
      <c r="R291" s="340"/>
      <c r="S291" s="340"/>
      <c r="T291" s="340"/>
    </row>
    <row r="292" spans="2:20" ht="21.75" customHeight="1">
      <c r="B292" s="354" t="s">
        <v>152</v>
      </c>
      <c r="C292" s="366"/>
      <c r="D292" s="366" t="str">
        <f>"Cash Working Capital assigned to transmission is one-eighth of O&amp;M allocated to transmission, as shown on line "&amp;B149&amp;". It excludes:"</f>
        <v>Cash Working Capital assigned to transmission is one-eighth of O&amp;M allocated to transmission, as shown on line 78. It excludes:</v>
      </c>
      <c r="E292" s="518"/>
      <c r="F292" s="518"/>
      <c r="G292" s="518"/>
      <c r="H292" s="518"/>
      <c r="I292" s="518"/>
      <c r="J292" s="518"/>
      <c r="K292" s="518"/>
      <c r="L292" s="518"/>
      <c r="M292" s="340"/>
      <c r="N292" s="340"/>
      <c r="O292" s="340"/>
      <c r="P292" s="340"/>
      <c r="Q292" s="340"/>
      <c r="R292" s="340"/>
      <c r="S292" s="340"/>
      <c r="T292" s="340"/>
    </row>
    <row r="293" spans="2:20">
      <c r="B293" s="354"/>
      <c r="C293" s="366"/>
      <c r="D293" s="519"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3" s="400"/>
      <c r="F293" s="400"/>
      <c r="G293" s="400"/>
      <c r="H293" s="400"/>
      <c r="I293" s="400"/>
      <c r="J293" s="400"/>
      <c r="K293" s="400"/>
      <c r="L293" s="400"/>
      <c r="M293" s="340"/>
      <c r="N293" s="340"/>
      <c r="O293" s="340"/>
      <c r="P293" s="340"/>
      <c r="Q293" s="340"/>
      <c r="R293" s="340"/>
      <c r="S293" s="340"/>
      <c r="T293" s="340"/>
    </row>
    <row r="294" spans="2:20">
      <c r="B294" s="354"/>
      <c r="C294" s="366"/>
      <c r="D294" s="520" t="str">
        <f>+"2)  Costs of Transmission of Electricity by Others, as described in Note H."</f>
        <v>2)  Costs of Transmission of Electricity by Others, as described in Note H.</v>
      </c>
      <c r="E294" s="518"/>
      <c r="F294" s="518"/>
      <c r="G294" s="518"/>
      <c r="H294" s="518"/>
      <c r="I294" s="518"/>
      <c r="J294" s="518"/>
      <c r="K294" s="518"/>
      <c r="L294" s="518"/>
      <c r="M294" s="340"/>
      <c r="N294" s="340"/>
      <c r="O294" s="340"/>
      <c r="P294" s="340"/>
      <c r="Q294" s="340"/>
      <c r="R294" s="340"/>
      <c r="S294" s="340"/>
      <c r="T294" s="340"/>
    </row>
    <row r="295" spans="2:20">
      <c r="B295" s="354"/>
      <c r="C295" s="366"/>
      <c r="D295" s="519" t="str">
        <f>+"3)  The impact of state regulatory deferrals and amortizations, as shown on line  "&amp;B148&amp;""</f>
        <v>3)  The impact of state regulatory deferrals and amortizations, as shown on line  77</v>
      </c>
      <c r="E295" s="400"/>
      <c r="F295" s="400"/>
      <c r="G295" s="400"/>
      <c r="H295" s="400"/>
      <c r="I295" s="400"/>
      <c r="J295" s="400"/>
      <c r="K295" s="400"/>
      <c r="L295" s="400"/>
      <c r="M295" s="340"/>
      <c r="N295" s="340"/>
      <c r="O295" s="340"/>
      <c r="P295" s="340"/>
      <c r="Q295" s="340"/>
      <c r="R295" s="340"/>
      <c r="S295" s="340"/>
      <c r="T295" s="340"/>
    </row>
    <row r="296" spans="2:20">
      <c r="B296" s="354"/>
      <c r="C296" s="400"/>
      <c r="D296" s="520" t="str">
        <f>"4) All A&amp;G Expenses, as shown on line "&amp;B165&amp;"."</f>
        <v>4) All A&amp;G Expenses, as shown on line 93.</v>
      </c>
      <c r="E296" s="518"/>
      <c r="F296" s="518"/>
      <c r="G296" s="518"/>
      <c r="H296" s="518"/>
      <c r="I296" s="518"/>
      <c r="J296" s="518"/>
      <c r="K296" s="518"/>
      <c r="L296" s="518"/>
      <c r="M296" s="340"/>
      <c r="N296" s="340"/>
      <c r="O296" s="340"/>
      <c r="P296" s="340"/>
      <c r="Q296" s="340"/>
      <c r="R296" s="340"/>
      <c r="S296" s="340"/>
      <c r="T296" s="340"/>
    </row>
    <row r="297" spans="2:20">
      <c r="B297" s="354"/>
      <c r="C297" s="355"/>
      <c r="D297" s="519"/>
      <c r="E297" s="521"/>
      <c r="F297" s="521"/>
      <c r="G297" s="521"/>
      <c r="H297" s="521"/>
      <c r="I297" s="521"/>
      <c r="J297" s="521"/>
      <c r="K297" s="521"/>
      <c r="L297" s="521"/>
      <c r="M297" s="340"/>
      <c r="N297" s="340"/>
      <c r="O297" s="340"/>
      <c r="P297" s="340"/>
      <c r="Q297" s="340"/>
      <c r="R297" s="340"/>
      <c r="S297" s="340"/>
      <c r="T297" s="340"/>
    </row>
    <row r="298" spans="2:20">
      <c r="B298" s="513" t="s">
        <v>153</v>
      </c>
      <c r="C298" s="423"/>
      <c r="D298" s="522"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8" s="522"/>
      <c r="F298" s="522"/>
      <c r="G298" s="522"/>
      <c r="H298" s="522"/>
      <c r="I298" s="522"/>
      <c r="J298" s="522"/>
      <c r="K298" s="522"/>
      <c r="L298" s="522"/>
      <c r="M298" s="340"/>
      <c r="N298" s="340"/>
      <c r="O298" s="340"/>
      <c r="P298" s="340"/>
      <c r="Q298" s="340"/>
      <c r="R298" s="340"/>
      <c r="S298" s="340"/>
      <c r="T298" s="340"/>
    </row>
    <row r="299" spans="2:20">
      <c r="B299" s="514"/>
      <c r="C299" s="320"/>
      <c r="D299" s="522" t="s">
        <v>218</v>
      </c>
      <c r="E299" s="522"/>
      <c r="F299" s="522"/>
      <c r="G299" s="522"/>
      <c r="H299" s="522"/>
      <c r="I299" s="522"/>
      <c r="J299" s="522"/>
      <c r="K299" s="522"/>
      <c r="L299" s="522"/>
      <c r="M299" s="340"/>
      <c r="N299" s="340"/>
      <c r="O299" s="340"/>
      <c r="P299" s="340"/>
      <c r="Q299" s="340"/>
      <c r="R299" s="340"/>
      <c r="S299" s="340"/>
      <c r="T299" s="340"/>
    </row>
    <row r="300" spans="2:20">
      <c r="B300" s="514"/>
      <c r="C300" s="320"/>
      <c r="D300" s="522" t="str">
        <f>"expense is included on line "&amp;B207&amp;"."</f>
        <v>expense is included on line 127.</v>
      </c>
      <c r="E300" s="522"/>
      <c r="F300" s="522"/>
      <c r="G300" s="522"/>
      <c r="H300" s="522"/>
      <c r="I300" s="522"/>
      <c r="J300" s="522"/>
      <c r="K300" s="522"/>
      <c r="L300" s="522"/>
      <c r="M300" s="340"/>
      <c r="N300" s="340"/>
      <c r="O300" s="340"/>
      <c r="P300" s="340"/>
      <c r="Q300" s="340"/>
      <c r="R300" s="340"/>
      <c r="S300" s="340"/>
      <c r="T300" s="340"/>
    </row>
    <row r="301" spans="2:20">
      <c r="B301" s="514"/>
      <c r="C301" s="320"/>
      <c r="D301" s="522"/>
      <c r="E301" s="522"/>
      <c r="F301" s="522"/>
      <c r="G301" s="522"/>
      <c r="H301" s="522"/>
      <c r="I301" s="522"/>
      <c r="J301" s="522"/>
      <c r="K301" s="522"/>
      <c r="L301" s="522"/>
      <c r="M301" s="320"/>
      <c r="N301" s="340"/>
      <c r="O301" s="340"/>
      <c r="P301" s="340"/>
      <c r="Q301" s="340"/>
      <c r="R301" s="340"/>
      <c r="S301" s="340"/>
      <c r="T301" s="340"/>
    </row>
    <row r="302" spans="2:20" ht="15.6" customHeight="1">
      <c r="B302" s="513" t="s">
        <v>154</v>
      </c>
      <c r="C302" s="320"/>
      <c r="D302" s="1466"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2" s="1466"/>
      <c r="F302" s="1466"/>
      <c r="G302" s="1466"/>
      <c r="H302" s="1466"/>
      <c r="I302" s="1466"/>
      <c r="J302" s="1466"/>
      <c r="K302" s="1466"/>
      <c r="L302" s="522"/>
      <c r="M302" s="320"/>
      <c r="N302" s="340"/>
      <c r="O302" s="340"/>
      <c r="P302" s="340"/>
      <c r="Q302" s="340"/>
      <c r="R302" s="340"/>
      <c r="S302" s="340"/>
      <c r="T302" s="340"/>
    </row>
    <row r="303" spans="2:20">
      <c r="B303" s="513"/>
      <c r="C303" s="320"/>
      <c r="D303" s="1466"/>
      <c r="E303" s="1466"/>
      <c r="F303" s="1466"/>
      <c r="G303" s="1466"/>
      <c r="H303" s="1466"/>
      <c r="I303" s="1466"/>
      <c r="J303" s="1466"/>
      <c r="K303" s="1466"/>
      <c r="L303" s="522"/>
      <c r="M303" s="320"/>
      <c r="N303" s="340"/>
      <c r="O303" s="340"/>
      <c r="P303" s="340"/>
      <c r="Q303" s="340"/>
      <c r="R303" s="340"/>
      <c r="S303" s="340"/>
      <c r="T303" s="340"/>
    </row>
    <row r="304" spans="2:20">
      <c r="B304" s="513"/>
      <c r="C304" s="320"/>
      <c r="D304" s="1466"/>
      <c r="E304" s="1466"/>
      <c r="F304" s="1466"/>
      <c r="G304" s="1466"/>
      <c r="H304" s="1466"/>
      <c r="I304" s="1466"/>
      <c r="J304" s="1466"/>
      <c r="K304" s="1466"/>
      <c r="L304" s="522"/>
      <c r="M304" s="320"/>
      <c r="N304" s="340"/>
      <c r="O304" s="340"/>
      <c r="P304" s="340"/>
      <c r="Q304" s="340"/>
      <c r="R304" s="340"/>
      <c r="S304" s="340"/>
      <c r="T304" s="340"/>
    </row>
    <row r="305" spans="2:20">
      <c r="B305" s="513"/>
      <c r="C305" s="320"/>
      <c r="D305" s="519"/>
      <c r="E305" s="522"/>
      <c r="F305" s="522"/>
      <c r="G305" s="522"/>
      <c r="H305" s="522"/>
      <c r="I305" s="522"/>
      <c r="J305" s="522"/>
      <c r="K305" s="522"/>
      <c r="L305" s="522"/>
      <c r="M305" s="320"/>
      <c r="N305" s="340"/>
      <c r="O305" s="340"/>
      <c r="P305" s="340"/>
      <c r="Q305" s="340"/>
      <c r="R305" s="340"/>
      <c r="S305" s="340"/>
      <c r="T305" s="340"/>
    </row>
    <row r="306" spans="2:20" ht="15.6" customHeight="1">
      <c r="B306" s="513" t="s">
        <v>155</v>
      </c>
      <c r="C306" s="320"/>
      <c r="D306" s="1484"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6" s="1484"/>
      <c r="F306" s="1484"/>
      <c r="G306" s="1484"/>
      <c r="H306" s="1484"/>
      <c r="I306" s="1484"/>
      <c r="J306" s="1484"/>
      <c r="K306" s="1484"/>
      <c r="L306" s="522"/>
      <c r="M306" s="320"/>
      <c r="N306" s="340"/>
      <c r="O306" s="340"/>
      <c r="P306" s="340"/>
      <c r="Q306" s="340"/>
      <c r="R306" s="340"/>
      <c r="S306" s="340"/>
      <c r="T306" s="340"/>
    </row>
    <row r="307" spans="2:20">
      <c r="B307" s="513"/>
      <c r="C307" s="320"/>
      <c r="D307" s="1484"/>
      <c r="E307" s="1484"/>
      <c r="F307" s="1484"/>
      <c r="G307" s="1484"/>
      <c r="H307" s="1484"/>
      <c r="I307" s="1484"/>
      <c r="J307" s="1484"/>
      <c r="K307" s="1484"/>
      <c r="L307" s="522"/>
      <c r="M307" s="320"/>
      <c r="N307" s="340"/>
      <c r="O307" s="340"/>
      <c r="P307" s="340"/>
      <c r="Q307" s="340"/>
      <c r="R307" s="340"/>
      <c r="S307" s="340"/>
      <c r="T307" s="340"/>
    </row>
    <row r="308" spans="2:20">
      <c r="B308" s="513"/>
      <c r="C308" s="320"/>
      <c r="D308" s="1484"/>
      <c r="E308" s="1484"/>
      <c r="F308" s="1484"/>
      <c r="G308" s="1484"/>
      <c r="H308" s="1484"/>
      <c r="I308" s="1484"/>
      <c r="J308" s="1484"/>
      <c r="K308" s="1484"/>
      <c r="L308" s="522"/>
      <c r="M308" s="320"/>
      <c r="N308" s="340"/>
      <c r="O308" s="340"/>
      <c r="P308" s="340"/>
      <c r="Q308" s="340"/>
      <c r="R308" s="340"/>
      <c r="S308" s="340"/>
      <c r="T308" s="340"/>
    </row>
    <row r="309" spans="2:20" ht="15.6" customHeight="1">
      <c r="B309" s="513"/>
      <c r="C309" s="320"/>
      <c r="D309" s="1465"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9" s="1465"/>
      <c r="F309" s="1465"/>
      <c r="G309" s="1465"/>
      <c r="H309" s="1465"/>
      <c r="I309" s="1465"/>
      <c r="J309" s="1465"/>
      <c r="K309" s="523"/>
      <c r="L309" s="522"/>
      <c r="M309" s="320"/>
      <c r="N309" s="340"/>
      <c r="O309" s="340"/>
      <c r="P309" s="340"/>
      <c r="Q309" s="340"/>
      <c r="R309" s="340"/>
      <c r="S309" s="340"/>
      <c r="T309" s="340"/>
    </row>
    <row r="310" spans="2:20">
      <c r="B310" s="513"/>
      <c r="C310" s="320"/>
      <c r="D310" s="1465"/>
      <c r="E310" s="1465"/>
      <c r="F310" s="1465"/>
      <c r="G310" s="1465"/>
      <c r="H310" s="1465"/>
      <c r="I310" s="1465"/>
      <c r="J310" s="1465"/>
      <c r="K310" s="523"/>
      <c r="L310" s="522"/>
      <c r="M310" s="320"/>
      <c r="N310" s="340"/>
      <c r="O310" s="340"/>
      <c r="P310" s="340"/>
      <c r="Q310" s="340"/>
      <c r="R310" s="340"/>
      <c r="S310" s="340"/>
      <c r="T310" s="340"/>
    </row>
    <row r="311" spans="2:20">
      <c r="B311" s="513"/>
      <c r="C311" s="320"/>
      <c r="D311" s="522" t="str">
        <f>"The company records referenced on line "&amp;B168&amp;" is the "&amp;F9&amp;" general ledger."</f>
        <v>The company records referenced on line 95 is the Appalachian Power Company general ledger.</v>
      </c>
      <c r="E311" s="524"/>
      <c r="F311" s="524"/>
      <c r="G311" s="524"/>
      <c r="H311" s="524"/>
      <c r="I311" s="524"/>
      <c r="J311" s="524"/>
      <c r="K311" s="524"/>
      <c r="L311" s="522"/>
      <c r="M311" s="320"/>
      <c r="N311" s="340"/>
      <c r="O311" s="340"/>
      <c r="P311" s="340"/>
      <c r="Q311" s="340"/>
      <c r="R311" s="340"/>
      <c r="S311" s="340"/>
      <c r="T311" s="340"/>
    </row>
    <row r="312" spans="2:20">
      <c r="B312" s="513"/>
      <c r="C312" s="320"/>
      <c r="D312" s="522"/>
      <c r="E312" s="524"/>
      <c r="F312" s="524"/>
      <c r="G312" s="524"/>
      <c r="H312" s="524"/>
      <c r="I312" s="524"/>
      <c r="J312" s="524"/>
      <c r="K312" s="524"/>
      <c r="L312" s="522"/>
      <c r="M312" s="320"/>
      <c r="N312" s="340"/>
      <c r="O312" s="340"/>
      <c r="P312" s="340"/>
      <c r="Q312" s="340"/>
      <c r="R312" s="340"/>
      <c r="S312" s="340"/>
      <c r="T312" s="340"/>
    </row>
    <row r="313" spans="2:20">
      <c r="B313" s="513" t="s">
        <v>156</v>
      </c>
      <c r="C313" s="320"/>
      <c r="D313" s="320" t="s">
        <v>580</v>
      </c>
      <c r="E313" s="370"/>
      <c r="F313" s="370"/>
      <c r="G313" s="370"/>
      <c r="H313" s="370"/>
      <c r="I313" s="370"/>
      <c r="J313" s="370"/>
      <c r="K313" s="370"/>
      <c r="L313" s="525"/>
      <c r="M313" s="320"/>
      <c r="N313" s="340"/>
      <c r="O313" s="340"/>
      <c r="P313" s="340"/>
      <c r="Q313" s="340"/>
      <c r="R313" s="340"/>
      <c r="S313" s="340"/>
      <c r="T313" s="340"/>
    </row>
    <row r="314" spans="2:20">
      <c r="B314" s="513"/>
      <c r="C314" s="320"/>
      <c r="D314" s="525"/>
      <c r="E314" s="525"/>
      <c r="F314" s="525"/>
      <c r="G314" s="525"/>
      <c r="H314" s="525"/>
      <c r="I314" s="525"/>
      <c r="J314" s="525"/>
      <c r="K314" s="525"/>
      <c r="L314" s="525"/>
      <c r="M314" s="320"/>
      <c r="N314" s="340"/>
      <c r="O314" s="340"/>
      <c r="P314" s="340"/>
      <c r="Q314" s="340"/>
      <c r="R314" s="340"/>
      <c r="S314" s="340"/>
      <c r="T314" s="340"/>
    </row>
    <row r="315" spans="2:20" ht="15.6" customHeight="1">
      <c r="B315" s="513" t="s">
        <v>157</v>
      </c>
      <c r="C315" s="320"/>
      <c r="D315" s="1483" t="s">
        <v>48</v>
      </c>
      <c r="E315" s="1483"/>
      <c r="F315" s="1483"/>
      <c r="G315" s="1483"/>
      <c r="H315" s="1483"/>
      <c r="I315" s="1483"/>
      <c r="J315" s="1483"/>
      <c r="K315" s="522"/>
      <c r="L315" s="522"/>
      <c r="M315" s="320"/>
      <c r="N315" s="340"/>
      <c r="O315" s="340"/>
      <c r="P315" s="340"/>
      <c r="Q315" s="340"/>
      <c r="R315" s="340"/>
      <c r="S315" s="340"/>
      <c r="T315" s="340"/>
    </row>
    <row r="316" spans="2:20">
      <c r="B316" s="513"/>
      <c r="C316" s="320"/>
      <c r="D316" s="1483"/>
      <c r="E316" s="1483"/>
      <c r="F316" s="1483"/>
      <c r="G316" s="1483"/>
      <c r="H316" s="1483"/>
      <c r="I316" s="1483"/>
      <c r="J316" s="1483"/>
      <c r="K316" s="525"/>
      <c r="L316" s="525"/>
      <c r="M316" s="320"/>
      <c r="N316" s="340"/>
      <c r="O316" s="340"/>
      <c r="P316" s="340"/>
      <c r="Q316" s="340"/>
      <c r="R316" s="340"/>
      <c r="S316" s="340"/>
      <c r="T316" s="340"/>
    </row>
    <row r="317" spans="2:20">
      <c r="B317" s="513"/>
      <c r="C317" s="320"/>
      <c r="D317" s="1483"/>
      <c r="E317" s="1483"/>
      <c r="F317" s="1483"/>
      <c r="G317" s="1483"/>
      <c r="H317" s="1483"/>
      <c r="I317" s="1483"/>
      <c r="J317" s="1483"/>
      <c r="K317" s="522"/>
      <c r="L317" s="522"/>
      <c r="M317" s="320"/>
      <c r="N317" s="340"/>
      <c r="O317" s="340"/>
      <c r="P317" s="340"/>
      <c r="Q317" s="340"/>
      <c r="R317" s="340"/>
      <c r="S317" s="340"/>
      <c r="T317" s="340"/>
    </row>
    <row r="318" spans="2:20">
      <c r="B318" s="513"/>
      <c r="C318" s="320"/>
      <c r="D318" s="522"/>
      <c r="E318" s="522"/>
      <c r="F318" s="522"/>
      <c r="G318" s="522"/>
      <c r="H318" s="522"/>
      <c r="I318" s="522"/>
      <c r="J318" s="522"/>
      <c r="K318" s="522"/>
      <c r="L318" s="522"/>
      <c r="M318" s="320"/>
      <c r="N318" s="340"/>
      <c r="O318" s="340"/>
      <c r="P318" s="340"/>
      <c r="Q318" s="340"/>
      <c r="R318" s="340"/>
      <c r="S318" s="340"/>
      <c r="T318" s="340"/>
    </row>
    <row r="319" spans="2:20" ht="15.6" customHeight="1">
      <c r="B319" s="1100" t="s">
        <v>158</v>
      </c>
      <c r="C319" s="1101"/>
      <c r="D319" s="1482" t="s">
        <v>863</v>
      </c>
      <c r="E319" s="1482"/>
      <c r="F319" s="1482"/>
      <c r="G319" s="1482"/>
      <c r="H319" s="1482"/>
      <c r="I319" s="1482"/>
      <c r="J319" s="1482"/>
      <c r="K319" s="1482"/>
      <c r="L319" s="525"/>
      <c r="M319" s="320"/>
      <c r="N319" s="340"/>
      <c r="O319" s="340"/>
      <c r="P319" s="340"/>
      <c r="Q319" s="340"/>
      <c r="R319" s="340"/>
      <c r="S319" s="340"/>
      <c r="T319" s="340"/>
    </row>
    <row r="320" spans="2:20" ht="15.75">
      <c r="B320" s="1074"/>
      <c r="C320" s="1101"/>
      <c r="D320" s="1482"/>
      <c r="E320" s="1482"/>
      <c r="F320" s="1482"/>
      <c r="G320" s="1482"/>
      <c r="H320" s="1482"/>
      <c r="I320" s="1482"/>
      <c r="J320" s="1482"/>
      <c r="K320" s="1482"/>
      <c r="L320" s="522"/>
      <c r="M320" s="320"/>
      <c r="N320" s="340"/>
      <c r="O320" s="340"/>
      <c r="P320" s="340"/>
      <c r="Q320" s="340"/>
      <c r="R320" s="340"/>
      <c r="S320" s="340"/>
      <c r="T320" s="340"/>
    </row>
    <row r="321" spans="2:20">
      <c r="B321" s="513"/>
      <c r="C321" s="320"/>
      <c r="D321" s="522"/>
      <c r="E321" s="522"/>
      <c r="F321" s="522"/>
      <c r="G321" s="522"/>
      <c r="H321" s="522"/>
      <c r="I321" s="522"/>
      <c r="J321" s="522"/>
      <c r="K321" s="522"/>
      <c r="L321" s="522"/>
      <c r="M321" s="320"/>
      <c r="N321" s="340"/>
      <c r="O321" s="340"/>
      <c r="P321" s="340"/>
      <c r="Q321" s="340"/>
      <c r="R321" s="340"/>
      <c r="S321" s="340"/>
      <c r="T321" s="340"/>
    </row>
    <row r="322" spans="2:20" ht="15.6" customHeight="1">
      <c r="B322" s="354" t="s">
        <v>159</v>
      </c>
      <c r="C322" s="355"/>
      <c r="D322" s="1478" t="s">
        <v>581</v>
      </c>
      <c r="E322" s="1478"/>
      <c r="F322" s="1478"/>
      <c r="G322" s="1478"/>
      <c r="H322" s="1478"/>
      <c r="I322" s="1478"/>
      <c r="J322" s="1478"/>
      <c r="K322" s="1478"/>
      <c r="L322" s="1478"/>
      <c r="M322" s="320"/>
      <c r="N322" s="340"/>
      <c r="O322" s="340"/>
      <c r="P322" s="340"/>
      <c r="Q322" s="340"/>
      <c r="R322" s="340"/>
      <c r="S322" s="340"/>
      <c r="T322" s="340"/>
    </row>
    <row r="323" spans="2:20">
      <c r="B323" s="354"/>
      <c r="C323" s="355"/>
      <c r="D323" s="1478"/>
      <c r="E323" s="1478"/>
      <c r="F323" s="1478"/>
      <c r="G323" s="1478"/>
      <c r="H323" s="1478"/>
      <c r="I323" s="1478"/>
      <c r="J323" s="1478"/>
      <c r="K323" s="1478"/>
      <c r="L323" s="1478"/>
      <c r="M323" s="320"/>
      <c r="N323" s="340"/>
      <c r="O323" s="340"/>
      <c r="P323" s="340"/>
      <c r="Q323" s="340"/>
      <c r="R323" s="340"/>
      <c r="S323" s="340"/>
      <c r="T323" s="340"/>
    </row>
    <row r="324" spans="2:20">
      <c r="B324" s="354"/>
      <c r="C324" s="355"/>
      <c r="D324" s="1478"/>
      <c r="E324" s="1478"/>
      <c r="F324" s="1478"/>
      <c r="G324" s="1478"/>
      <c r="H324" s="1478"/>
      <c r="I324" s="1478"/>
      <c r="J324" s="1478"/>
      <c r="K324" s="1478"/>
      <c r="L324" s="1478"/>
      <c r="M324" s="320"/>
      <c r="N324" s="340"/>
      <c r="O324" s="340"/>
      <c r="P324" s="340"/>
      <c r="Q324" s="340"/>
      <c r="R324" s="340"/>
      <c r="S324" s="340"/>
      <c r="T324" s="340"/>
    </row>
    <row r="325" spans="2:20">
      <c r="B325" s="354"/>
      <c r="C325" s="355"/>
      <c r="D325" s="1478"/>
      <c r="E325" s="1478"/>
      <c r="F325" s="1478"/>
      <c r="G325" s="1478"/>
      <c r="H325" s="1478"/>
      <c r="I325" s="1478"/>
      <c r="J325" s="1478"/>
      <c r="K325" s="1478"/>
      <c r="L325" s="1478"/>
      <c r="M325" s="320"/>
      <c r="N325" s="340"/>
      <c r="O325" s="340"/>
      <c r="P325" s="340"/>
      <c r="Q325" s="340"/>
      <c r="R325" s="340"/>
      <c r="S325" s="340"/>
      <c r="T325" s="340"/>
    </row>
    <row r="326" spans="2:20">
      <c r="B326" s="354"/>
      <c r="C326" s="355"/>
      <c r="D326" s="522"/>
      <c r="E326" s="521"/>
      <c r="F326" s="521"/>
      <c r="G326" s="521"/>
      <c r="H326" s="521"/>
      <c r="I326" s="521"/>
      <c r="J326" s="521"/>
      <c r="K326" s="521"/>
      <c r="L326" s="521"/>
      <c r="M326" s="320"/>
      <c r="N326" s="340"/>
      <c r="O326" s="340"/>
      <c r="P326" s="340"/>
      <c r="Q326" s="340"/>
      <c r="R326" s="340"/>
      <c r="S326" s="340"/>
      <c r="T326" s="340"/>
    </row>
    <row r="327" spans="2:20" ht="15" customHeight="1">
      <c r="B327" s="354" t="s">
        <v>160</v>
      </c>
      <c r="C327" s="355"/>
      <c r="D327" s="1481" t="s">
        <v>861</v>
      </c>
      <c r="E327" s="1481"/>
      <c r="F327" s="1481"/>
      <c r="G327" s="1481"/>
      <c r="H327" s="1481"/>
      <c r="I327" s="1481"/>
      <c r="J327" s="1481"/>
      <c r="K327" s="1481"/>
      <c r="L327" s="1481"/>
      <c r="M327" s="320"/>
      <c r="N327" s="340"/>
      <c r="O327" s="340"/>
      <c r="P327" s="340"/>
      <c r="Q327" s="340"/>
      <c r="R327" s="340"/>
      <c r="S327" s="340"/>
      <c r="T327" s="340"/>
    </row>
    <row r="328" spans="2:20">
      <c r="B328" s="354"/>
      <c r="C328" s="355"/>
      <c r="D328" s="1481"/>
      <c r="E328" s="1481"/>
      <c r="F328" s="1481"/>
      <c r="G328" s="1481"/>
      <c r="H328" s="1481"/>
      <c r="I328" s="1481"/>
      <c r="J328" s="1481"/>
      <c r="K328" s="1481"/>
      <c r="L328" s="1481"/>
      <c r="M328" s="320"/>
      <c r="N328" s="340"/>
      <c r="O328" s="340"/>
      <c r="P328" s="340"/>
      <c r="Q328" s="340"/>
      <c r="R328" s="340"/>
      <c r="S328" s="340"/>
      <c r="T328" s="340"/>
    </row>
    <row r="329" spans="2:20">
      <c r="B329" s="354"/>
      <c r="C329" s="355"/>
      <c r="D329" s="1481"/>
      <c r="E329" s="1481"/>
      <c r="F329" s="1481"/>
      <c r="G329" s="1481"/>
      <c r="H329" s="1481"/>
      <c r="I329" s="1481"/>
      <c r="J329" s="1481"/>
      <c r="K329" s="1481"/>
      <c r="L329" s="1481"/>
      <c r="M329" s="320"/>
      <c r="N329" s="340"/>
      <c r="O329" s="340"/>
      <c r="P329" s="340"/>
      <c r="Q329" s="340"/>
      <c r="R329" s="340"/>
      <c r="S329" s="340"/>
      <c r="T329" s="340"/>
    </row>
    <row r="330" spans="2:20">
      <c r="B330" s="354"/>
      <c r="C330" s="355"/>
      <c r="D330" s="465"/>
      <c r="E330" s="340"/>
      <c r="F330" s="340"/>
      <c r="G330" s="340"/>
      <c r="H330" s="340"/>
      <c r="I330" s="340"/>
      <c r="J330" s="340"/>
      <c r="K330" s="340"/>
      <c r="L330" s="340"/>
      <c r="M330" s="320"/>
      <c r="N330" s="340"/>
      <c r="O330" s="340"/>
      <c r="P330" s="340"/>
      <c r="Q330" s="340"/>
      <c r="R330" s="340"/>
      <c r="S330" s="340"/>
      <c r="T330" s="340"/>
    </row>
    <row r="331" spans="2:20">
      <c r="B331" s="422" t="s">
        <v>245</v>
      </c>
      <c r="C331" s="355"/>
      <c r="D331" s="366" t="s">
        <v>355</v>
      </c>
      <c r="E331" s="323"/>
      <c r="F331" s="323"/>
      <c r="G331" s="323"/>
      <c r="H331" s="323"/>
      <c r="I331" s="323"/>
      <c r="J331" s="323"/>
      <c r="K331" s="320"/>
      <c r="L331" s="320"/>
      <c r="M331" s="320"/>
      <c r="N331" s="340"/>
      <c r="O331" s="340"/>
      <c r="P331" s="340"/>
      <c r="Q331" s="340"/>
      <c r="R331" s="340"/>
      <c r="S331" s="340"/>
      <c r="T331" s="340"/>
    </row>
    <row r="332" spans="2:20">
      <c r="B332" s="422"/>
      <c r="C332" s="355"/>
      <c r="D332" s="323"/>
      <c r="E332" s="323"/>
      <c r="F332" s="323"/>
      <c r="G332" s="323"/>
      <c r="H332" s="323"/>
      <c r="I332" s="323"/>
      <c r="J332" s="323"/>
      <c r="K332" s="320"/>
      <c r="L332" s="320"/>
      <c r="M332" s="320"/>
      <c r="N332" s="340"/>
      <c r="O332" s="340"/>
      <c r="P332" s="340"/>
      <c r="Q332" s="340"/>
      <c r="R332" s="340"/>
      <c r="S332" s="340"/>
      <c r="T332" s="340"/>
    </row>
    <row r="333" spans="2:20">
      <c r="B333" s="354" t="s">
        <v>304</v>
      </c>
      <c r="C333" s="355"/>
      <c r="D333" s="366" t="s">
        <v>344</v>
      </c>
      <c r="E333" s="320"/>
      <c r="F333" s="320"/>
      <c r="G333" s="320"/>
      <c r="H333" s="320"/>
      <c r="I333" s="320"/>
      <c r="J333" s="320"/>
      <c r="K333" s="320"/>
      <c r="L333" s="320"/>
      <c r="M333" s="320"/>
      <c r="N333" s="340"/>
      <c r="O333" s="340"/>
      <c r="P333" s="340"/>
      <c r="Q333" s="340"/>
      <c r="R333" s="340"/>
      <c r="S333" s="340"/>
      <c r="T333" s="340"/>
    </row>
    <row r="334" spans="2:20">
      <c r="B334" s="422"/>
      <c r="C334" s="355"/>
      <c r="D334" s="366" t="s">
        <v>233</v>
      </c>
      <c r="E334" s="320"/>
      <c r="F334" s="320"/>
      <c r="G334" s="320"/>
      <c r="H334" s="320"/>
      <c r="I334" s="320"/>
      <c r="J334" s="320"/>
      <c r="K334" s="320"/>
      <c r="L334" s="320"/>
      <c r="M334" s="320"/>
      <c r="N334" s="340"/>
      <c r="O334" s="340"/>
      <c r="P334" s="340"/>
      <c r="Q334" s="340"/>
      <c r="R334" s="340"/>
      <c r="S334" s="340"/>
      <c r="T334" s="340"/>
    </row>
    <row r="335" spans="2:20">
      <c r="B335" s="422"/>
      <c r="C335" s="355"/>
      <c r="D335" s="366" t="s">
        <v>234</v>
      </c>
      <c r="E335" s="320"/>
      <c r="F335" s="320"/>
      <c r="G335" s="320"/>
      <c r="H335" s="320"/>
      <c r="I335" s="320"/>
      <c r="J335" s="320"/>
      <c r="K335" s="320"/>
      <c r="L335" s="320"/>
      <c r="M335" s="320"/>
      <c r="N335" s="340"/>
      <c r="O335" s="340"/>
      <c r="P335" s="340"/>
      <c r="Q335" s="340"/>
      <c r="R335" s="340"/>
      <c r="S335" s="340"/>
      <c r="T335" s="340"/>
    </row>
    <row r="336" spans="2:20">
      <c r="B336" s="422"/>
      <c r="C336" s="355"/>
      <c r="D336" s="366" t="s">
        <v>235</v>
      </c>
      <c r="E336" s="320"/>
      <c r="F336" s="320"/>
      <c r="G336" s="320"/>
      <c r="H336" s="320"/>
      <c r="I336" s="320"/>
      <c r="J336" s="320"/>
      <c r="K336" s="320"/>
      <c r="L336" s="320"/>
      <c r="M336" s="320"/>
      <c r="N336" s="340"/>
      <c r="O336" s="340"/>
      <c r="P336" s="340"/>
      <c r="Q336" s="340"/>
      <c r="R336" s="340"/>
      <c r="S336" s="340"/>
      <c r="T336" s="340"/>
    </row>
    <row r="337" spans="2:20">
      <c r="B337" s="354"/>
      <c r="C337" s="355"/>
      <c r="D337" s="366" t="str">
        <f>"(ln "&amp;B194&amp;") multiplied by (1/1-T) .  If the applicable tax rates are zero enter 0."</f>
        <v>(ln 118) multiplied by (1/1-T) .  If the applicable tax rates are zero enter 0.</v>
      </c>
      <c r="H337" s="320"/>
      <c r="I337" s="320"/>
      <c r="J337" s="320"/>
      <c r="K337" s="320"/>
      <c r="L337" s="320"/>
      <c r="M337" s="320"/>
      <c r="N337" s="340"/>
      <c r="O337" s="340"/>
      <c r="P337" s="340"/>
      <c r="Q337" s="340"/>
      <c r="R337" s="340"/>
      <c r="S337" s="340"/>
      <c r="T337" s="340"/>
    </row>
    <row r="338" spans="2:20">
      <c r="B338" s="526"/>
      <c r="C338" s="340"/>
      <c r="D338" s="366" t="s">
        <v>345</v>
      </c>
      <c r="E338" s="340" t="s">
        <v>346</v>
      </c>
      <c r="F338" s="843">
        <v>0.21</v>
      </c>
      <c r="G338" s="340"/>
      <c r="H338" s="320"/>
      <c r="I338" s="320"/>
      <c r="J338" s="320"/>
      <c r="K338" s="320"/>
      <c r="L338" s="320"/>
      <c r="M338" s="320"/>
      <c r="N338" s="340"/>
      <c r="O338" s="340"/>
      <c r="P338" s="340"/>
      <c r="Q338" s="340"/>
      <c r="R338" s="340"/>
      <c r="S338" s="340"/>
      <c r="T338" s="340"/>
    </row>
    <row r="339" spans="2:20">
      <c r="B339" s="526"/>
      <c r="C339" s="340"/>
      <c r="D339" s="366"/>
      <c r="E339" s="340" t="s">
        <v>347</v>
      </c>
      <c r="F339" s="515">
        <f>'WS G  State Tax Rate'!F35</f>
        <v>3.5799999999999998E-2</v>
      </c>
      <c r="G339" s="340" t="s">
        <v>505</v>
      </c>
      <c r="H339" s="320"/>
      <c r="I339" s="320"/>
      <c r="J339" s="320"/>
      <c r="K339" s="320"/>
      <c r="L339" s="320"/>
      <c r="M339" s="320"/>
      <c r="N339" s="340"/>
      <c r="O339" s="340"/>
      <c r="P339" s="340"/>
      <c r="Q339" s="340"/>
      <c r="R339" s="340"/>
      <c r="S339" s="340"/>
      <c r="T339" s="340"/>
    </row>
    <row r="340" spans="2:20">
      <c r="B340" s="526"/>
      <c r="C340" s="340"/>
      <c r="D340" s="366"/>
      <c r="E340" s="340" t="s">
        <v>348</v>
      </c>
      <c r="F340" s="843">
        <v>0</v>
      </c>
      <c r="G340" s="340" t="s">
        <v>349</v>
      </c>
      <c r="H340" s="320"/>
      <c r="I340" s="320"/>
      <c r="J340" s="320"/>
      <c r="K340" s="320"/>
      <c r="L340" s="320"/>
      <c r="M340" s="320"/>
      <c r="N340" s="340"/>
      <c r="O340" s="340"/>
      <c r="P340" s="340"/>
      <c r="Q340" s="340"/>
      <c r="R340" s="340"/>
      <c r="S340" s="340"/>
      <c r="T340" s="340"/>
    </row>
    <row r="341" spans="2:20">
      <c r="B341" s="422"/>
      <c r="C341" s="355"/>
      <c r="D341" s="366" t="s">
        <v>592</v>
      </c>
      <c r="E341" s="320"/>
      <c r="F341" s="320"/>
      <c r="G341" s="320"/>
      <c r="H341" s="320"/>
      <c r="I341" s="320"/>
      <c r="J341" s="320"/>
      <c r="K341" s="320"/>
      <c r="L341" s="320"/>
      <c r="M341" s="340"/>
      <c r="N341" s="340"/>
      <c r="O341" s="340"/>
      <c r="P341" s="340"/>
      <c r="Q341" s="340"/>
      <c r="R341" s="340"/>
      <c r="S341" s="340"/>
      <c r="T341" s="340"/>
    </row>
    <row r="342" spans="2:20">
      <c r="B342" s="422"/>
      <c r="C342" s="355"/>
      <c r="D342" s="366" t="s">
        <v>593</v>
      </c>
      <c r="E342" s="320"/>
      <c r="F342" s="320"/>
      <c r="G342" s="320"/>
      <c r="H342" s="320"/>
      <c r="I342" s="320"/>
      <c r="J342" s="320"/>
      <c r="K342" s="320"/>
      <c r="L342" s="320"/>
      <c r="M342" s="340"/>
      <c r="N342" s="340"/>
      <c r="O342" s="340"/>
      <c r="P342" s="340"/>
      <c r="Q342" s="340"/>
      <c r="R342" s="340"/>
      <c r="S342" s="340"/>
      <c r="T342" s="340"/>
    </row>
    <row r="343" spans="2:20">
      <c r="B343" s="354" t="s">
        <v>350</v>
      </c>
      <c r="C343" s="355"/>
      <c r="D343" s="366" t="s">
        <v>224</v>
      </c>
      <c r="E343" s="320"/>
      <c r="F343" s="320"/>
      <c r="G343" s="320"/>
      <c r="H343" s="320"/>
      <c r="I343" s="320"/>
      <c r="J343" s="320"/>
      <c r="K343" s="320"/>
      <c r="L343" s="320"/>
      <c r="M343" s="320"/>
      <c r="N343" s="340"/>
      <c r="O343" s="340"/>
      <c r="P343" s="340"/>
      <c r="Q343" s="340"/>
      <c r="R343" s="340"/>
      <c r="S343" s="340"/>
      <c r="T343" s="340"/>
    </row>
    <row r="344" spans="2:20">
      <c r="B344" s="315"/>
      <c r="D344" s="366"/>
      <c r="E344" s="320"/>
      <c r="F344" s="320"/>
      <c r="G344" s="320"/>
      <c r="H344" s="320"/>
      <c r="I344" s="320"/>
      <c r="J344" s="320"/>
      <c r="K344" s="320"/>
      <c r="L344" s="320"/>
      <c r="M344" s="320"/>
      <c r="N344" s="340"/>
      <c r="O344" s="340"/>
      <c r="P344" s="340"/>
      <c r="Q344" s="340"/>
      <c r="R344" s="340"/>
      <c r="S344" s="340"/>
      <c r="T344" s="340"/>
    </row>
    <row r="345" spans="2:20">
      <c r="B345" s="354" t="s">
        <v>351</v>
      </c>
      <c r="C345" s="355"/>
      <c r="D345" s="366" t="s">
        <v>22</v>
      </c>
      <c r="E345" s="320"/>
      <c r="F345" s="320"/>
      <c r="G345" s="320"/>
      <c r="H345" s="320"/>
      <c r="I345" s="320"/>
      <c r="J345" s="320"/>
      <c r="K345" s="320"/>
      <c r="L345" s="320"/>
      <c r="M345" s="320"/>
      <c r="N345" s="340"/>
      <c r="O345" s="340"/>
      <c r="P345" s="340"/>
      <c r="Q345" s="340"/>
      <c r="R345" s="340"/>
      <c r="S345" s="340"/>
      <c r="T345" s="340"/>
    </row>
    <row r="346" spans="2:20">
      <c r="B346" s="354"/>
      <c r="C346" s="355"/>
      <c r="D346" s="366"/>
      <c r="E346" s="340"/>
      <c r="F346" s="340"/>
      <c r="G346" s="340"/>
      <c r="H346" s="340"/>
      <c r="I346" s="340"/>
      <c r="J346" s="340"/>
      <c r="K346" s="340"/>
      <c r="L346" s="340"/>
      <c r="M346" s="340"/>
      <c r="N346" s="340"/>
      <c r="O346" s="340"/>
      <c r="P346" s="340"/>
      <c r="Q346" s="340"/>
      <c r="R346" s="340"/>
      <c r="S346" s="340"/>
      <c r="T346" s="340"/>
    </row>
    <row r="347" spans="2:20">
      <c r="B347" s="354" t="s">
        <v>352</v>
      </c>
      <c r="C347" s="355"/>
      <c r="D347" s="366" t="s">
        <v>415</v>
      </c>
      <c r="E347" s="340"/>
      <c r="F347" s="340"/>
      <c r="G347" s="340"/>
      <c r="H347" s="340"/>
      <c r="I347" s="340"/>
      <c r="J347" s="340"/>
      <c r="K347" s="340"/>
      <c r="L347" s="340"/>
      <c r="M347" s="340"/>
      <c r="N347" s="340"/>
      <c r="O347" s="340"/>
      <c r="P347" s="340"/>
      <c r="Q347" s="340"/>
      <c r="R347" s="340"/>
      <c r="S347" s="340"/>
      <c r="T347" s="340"/>
    </row>
    <row r="348" spans="2:20">
      <c r="B348" s="354"/>
      <c r="C348" s="355"/>
      <c r="D348" s="366"/>
      <c r="E348" s="340"/>
      <c r="F348" s="340"/>
      <c r="G348" s="340"/>
      <c r="H348" s="340"/>
      <c r="I348" s="340"/>
      <c r="J348" s="340"/>
      <c r="K348" s="340"/>
      <c r="L348" s="340"/>
      <c r="M348" s="340"/>
      <c r="N348" s="340"/>
      <c r="O348" s="340"/>
      <c r="P348" s="340"/>
      <c r="Q348" s="340"/>
      <c r="R348" s="340"/>
      <c r="S348" s="340"/>
      <c r="T348" s="340"/>
    </row>
    <row r="349" spans="2:20">
      <c r="B349" s="513" t="s">
        <v>353</v>
      </c>
      <c r="C349" s="423"/>
      <c r="D349" s="366"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49" s="340"/>
      <c r="N349" s="340"/>
      <c r="O349" s="340"/>
      <c r="P349" s="340"/>
      <c r="Q349" s="340"/>
      <c r="R349" s="340"/>
      <c r="S349" s="340"/>
      <c r="T349" s="340"/>
    </row>
    <row r="350" spans="2:20">
      <c r="B350" s="514"/>
      <c r="C350" s="320"/>
      <c r="D350" s="366"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0" s="340"/>
      <c r="N350" s="340"/>
      <c r="O350" s="340"/>
      <c r="P350" s="340"/>
      <c r="Q350" s="340"/>
      <c r="R350" s="340"/>
      <c r="S350" s="340"/>
      <c r="T350" s="340"/>
    </row>
    <row r="351" spans="2:20" ht="15" customHeight="1">
      <c r="B351" s="514"/>
      <c r="C351" s="320"/>
      <c r="D351" s="1480" t="s">
        <v>582</v>
      </c>
      <c r="E351" s="1480"/>
      <c r="F351" s="1480"/>
      <c r="G351" s="1480"/>
      <c r="H351" s="1480"/>
      <c r="I351" s="1480"/>
      <c r="J351" s="1480"/>
      <c r="K351" s="1480"/>
      <c r="L351" s="1480"/>
      <c r="M351" s="340"/>
      <c r="N351" s="340"/>
      <c r="O351" s="340"/>
      <c r="P351" s="340"/>
      <c r="Q351" s="340"/>
      <c r="R351" s="340"/>
      <c r="S351" s="340"/>
      <c r="T351" s="340"/>
    </row>
    <row r="352" spans="2:20">
      <c r="B352" s="514"/>
      <c r="C352" s="320"/>
      <c r="D352" s="1480"/>
      <c r="E352" s="1480"/>
      <c r="F352" s="1480"/>
      <c r="G352" s="1480"/>
      <c r="H352" s="1480"/>
      <c r="I352" s="1480"/>
      <c r="J352" s="1480"/>
      <c r="K352" s="1480"/>
      <c r="L352" s="1480"/>
      <c r="M352" s="340"/>
      <c r="N352" s="340"/>
      <c r="O352" s="340"/>
      <c r="P352" s="340"/>
      <c r="Q352" s="340"/>
      <c r="R352" s="340"/>
      <c r="S352" s="340"/>
      <c r="T352" s="340"/>
    </row>
    <row r="353" spans="2:20" ht="14.25" customHeight="1">
      <c r="B353" s="514"/>
      <c r="C353" s="320"/>
      <c r="D353" s="1480"/>
      <c r="E353" s="1480"/>
      <c r="F353" s="1480"/>
      <c r="G353" s="1480"/>
      <c r="H353" s="1480"/>
      <c r="I353" s="1480"/>
      <c r="J353" s="1480"/>
      <c r="K353" s="1480"/>
      <c r="L353" s="1480"/>
      <c r="M353" s="340"/>
      <c r="N353" s="340"/>
      <c r="O353" s="340"/>
      <c r="P353" s="340"/>
      <c r="Q353" s="340"/>
      <c r="R353" s="340"/>
      <c r="S353" s="340"/>
      <c r="T353" s="340"/>
    </row>
    <row r="354" spans="2:20" ht="15" hidden="1" customHeight="1">
      <c r="B354" s="514"/>
      <c r="C354" s="320"/>
      <c r="D354" s="1480"/>
      <c r="E354" s="1480"/>
      <c r="F354" s="1480"/>
      <c r="G354" s="1480"/>
      <c r="H354" s="1480"/>
      <c r="I354" s="1480"/>
      <c r="J354" s="1480"/>
      <c r="K354" s="1480"/>
      <c r="L354" s="1480"/>
      <c r="M354" s="340"/>
      <c r="N354" s="340"/>
      <c r="O354" s="340"/>
      <c r="P354" s="340"/>
      <c r="Q354" s="340"/>
      <c r="R354" s="340"/>
      <c r="S354" s="340"/>
      <c r="T354" s="340"/>
    </row>
    <row r="355" spans="2:20" ht="15" hidden="1" customHeight="1">
      <c r="B355" s="514"/>
      <c r="C355" s="320"/>
      <c r="D355" s="1480"/>
      <c r="E355" s="1480"/>
      <c r="F355" s="1480"/>
      <c r="G355" s="1480"/>
      <c r="H355" s="1480"/>
      <c r="I355" s="1480"/>
      <c r="J355" s="1480"/>
      <c r="K355" s="1480"/>
      <c r="L355" s="1480"/>
      <c r="M355" s="340"/>
      <c r="N355" s="340"/>
      <c r="O355" s="340"/>
      <c r="P355" s="340"/>
      <c r="Q355" s="340"/>
      <c r="R355" s="340"/>
      <c r="S355" s="340"/>
      <c r="T355" s="340"/>
    </row>
    <row r="356" spans="2:20" ht="15" hidden="1" customHeight="1">
      <c r="B356" s="514"/>
      <c r="C356" s="320"/>
      <c r="D356" s="1480"/>
      <c r="E356" s="1480"/>
      <c r="F356" s="1480"/>
      <c r="G356" s="1480"/>
      <c r="H356" s="1480"/>
      <c r="I356" s="1480"/>
      <c r="J356" s="1480"/>
      <c r="K356" s="1480"/>
      <c r="L356" s="1480"/>
      <c r="M356" s="340"/>
      <c r="N356" s="340"/>
      <c r="O356" s="340"/>
      <c r="P356" s="340"/>
      <c r="Q356" s="340"/>
      <c r="R356" s="340"/>
      <c r="S356" s="340"/>
      <c r="T356" s="340"/>
    </row>
    <row r="357" spans="2:20" s="320" customFormat="1">
      <c r="B357" s="354" t="s">
        <v>426</v>
      </c>
      <c r="C357" s="355"/>
      <c r="D357" s="522" t="s">
        <v>34</v>
      </c>
      <c r="E357" s="522"/>
      <c r="F357" s="522"/>
      <c r="G357" s="522"/>
      <c r="H357" s="522"/>
      <c r="I357" s="522"/>
      <c r="J357" s="522"/>
      <c r="M357" s="340"/>
      <c r="N357" s="340"/>
      <c r="O357" s="340"/>
      <c r="P357" s="340"/>
      <c r="Q357" s="340"/>
      <c r="R357" s="340"/>
      <c r="S357" s="340"/>
      <c r="T357" s="340"/>
    </row>
    <row r="358" spans="2:20" s="320" customFormat="1">
      <c r="B358" s="354"/>
      <c r="C358" s="355"/>
      <c r="D358" s="522" t="str">
        <f>"This total balance of $265,249,280 at 12/31/12 is not included in the balance in line "&amp;B255&amp;" above."</f>
        <v>This total balance of $265,249,280 at 12/31/12 is not included in the balance in line 154 above.</v>
      </c>
      <c r="E358" s="522"/>
      <c r="F358" s="522"/>
      <c r="G358" s="522"/>
      <c r="H358" s="522"/>
      <c r="I358" s="522"/>
      <c r="J358" s="522"/>
      <c r="M358" s="340"/>
      <c r="N358" s="340"/>
      <c r="O358" s="340"/>
      <c r="P358" s="340"/>
      <c r="Q358" s="340"/>
      <c r="R358" s="340"/>
      <c r="S358" s="340"/>
      <c r="T358" s="340"/>
    </row>
    <row r="359" spans="2:20" s="320" customFormat="1" ht="15.6" customHeight="1">
      <c r="B359" s="354"/>
      <c r="C359" s="355"/>
      <c r="D359" s="1487" t="s">
        <v>583</v>
      </c>
      <c r="E359" s="1487"/>
      <c r="F359" s="1487"/>
      <c r="G359" s="1487"/>
      <c r="H359" s="1487"/>
      <c r="I359" s="1487"/>
      <c r="J359" s="1487"/>
      <c r="K359" s="1487"/>
      <c r="L359" s="1487"/>
      <c r="M359" s="340"/>
      <c r="N359" s="340"/>
      <c r="O359" s="340"/>
      <c r="P359" s="340"/>
      <c r="Q359" s="340"/>
      <c r="R359" s="340"/>
      <c r="S359" s="340"/>
      <c r="T359" s="340"/>
    </row>
    <row r="360" spans="2:20" s="320" customFormat="1">
      <c r="B360" s="354"/>
      <c r="C360" s="355"/>
      <c r="D360" s="1487"/>
      <c r="E360" s="1487"/>
      <c r="F360" s="1487"/>
      <c r="G360" s="1487"/>
      <c r="H360" s="1487"/>
      <c r="I360" s="1487"/>
      <c r="J360" s="1487"/>
      <c r="K360" s="1487"/>
      <c r="L360" s="1487"/>
      <c r="M360" s="340"/>
      <c r="N360" s="340"/>
      <c r="O360" s="340"/>
      <c r="P360" s="340"/>
      <c r="Q360" s="340"/>
      <c r="R360" s="340"/>
      <c r="S360" s="340"/>
      <c r="T360" s="340"/>
    </row>
    <row r="361" spans="2:20" s="320" customFormat="1">
      <c r="B361" s="354"/>
      <c r="C361" s="355"/>
      <c r="D361" s="1487"/>
      <c r="E361" s="1487"/>
      <c r="F361" s="1487"/>
      <c r="G361" s="1487"/>
      <c r="H361" s="1487"/>
      <c r="I361" s="1487"/>
      <c r="J361" s="1487"/>
      <c r="K361" s="1487"/>
      <c r="L361" s="1487"/>
      <c r="M361" s="340"/>
      <c r="N361" s="340"/>
      <c r="O361" s="340"/>
      <c r="P361" s="340"/>
      <c r="Q361" s="340"/>
      <c r="R361" s="340"/>
      <c r="S361" s="340"/>
      <c r="T361" s="340"/>
    </row>
    <row r="362" spans="2:20" ht="15.6" customHeight="1">
      <c r="B362" s="354" t="s">
        <v>494</v>
      </c>
      <c r="C362" s="527"/>
      <c r="D362" s="1487" t="s">
        <v>759</v>
      </c>
      <c r="E362" s="1487"/>
      <c r="F362" s="1487"/>
      <c r="G362" s="1487"/>
      <c r="H362" s="1487"/>
      <c r="I362" s="1487"/>
      <c r="J362" s="1487"/>
      <c r="K362" s="1487"/>
      <c r="L362" s="1487"/>
      <c r="M362" s="340"/>
      <c r="N362" s="340"/>
      <c r="O362" s="340"/>
      <c r="P362" s="340"/>
      <c r="Q362" s="340"/>
      <c r="R362" s="340"/>
      <c r="S362" s="340"/>
      <c r="T362" s="340"/>
    </row>
    <row r="363" spans="2:20" ht="64.5" customHeight="1">
      <c r="B363" s="354"/>
      <c r="C363" s="355"/>
      <c r="D363" s="1487"/>
      <c r="E363" s="1487"/>
      <c r="F363" s="1487"/>
      <c r="G363" s="1487"/>
      <c r="H363" s="1487"/>
      <c r="I363" s="1487"/>
      <c r="J363" s="1487"/>
      <c r="K363" s="1487"/>
      <c r="L363" s="1487"/>
      <c r="M363" s="340"/>
      <c r="N363" s="340"/>
      <c r="O363" s="340"/>
      <c r="P363" s="340"/>
      <c r="Q363" s="340"/>
      <c r="R363" s="340"/>
      <c r="S363" s="340"/>
      <c r="T363" s="340"/>
    </row>
    <row r="364" spans="2:20" ht="15.6" customHeight="1">
      <c r="B364" s="354" t="s">
        <v>585</v>
      </c>
      <c r="C364" s="355"/>
      <c r="D364" s="1485" t="s">
        <v>584</v>
      </c>
      <c r="E364" s="1485"/>
      <c r="F364" s="1485"/>
      <c r="G364" s="1485"/>
      <c r="H364" s="1485"/>
      <c r="I364" s="1485"/>
      <c r="J364" s="1485"/>
      <c r="K364" s="1485"/>
      <c r="L364" s="1485"/>
      <c r="M364" s="340"/>
      <c r="N364" s="340"/>
      <c r="O364" s="340"/>
      <c r="P364" s="340"/>
      <c r="Q364" s="340"/>
      <c r="R364" s="340"/>
      <c r="S364" s="340"/>
      <c r="T364" s="340"/>
    </row>
    <row r="365" spans="2:20">
      <c r="B365" s="354"/>
      <c r="C365" s="355"/>
      <c r="D365" s="1485"/>
      <c r="E365" s="1485"/>
      <c r="F365" s="1485"/>
      <c r="G365" s="1485"/>
      <c r="H365" s="1485"/>
      <c r="I365" s="1485"/>
      <c r="J365" s="1485"/>
      <c r="K365" s="1485"/>
      <c r="L365" s="1485"/>
      <c r="M365" s="340"/>
      <c r="N365" s="340"/>
      <c r="O365" s="340"/>
      <c r="P365" s="340"/>
      <c r="Q365" s="340"/>
      <c r="R365" s="340"/>
      <c r="S365" s="340"/>
      <c r="T365" s="340"/>
    </row>
    <row r="366" spans="2:20">
      <c r="B366" s="354" t="s">
        <v>587</v>
      </c>
      <c r="C366" s="355"/>
      <c r="D366" s="1486" t="s">
        <v>588</v>
      </c>
      <c r="E366" s="1486"/>
      <c r="F366" s="1486"/>
      <c r="G366" s="1486"/>
      <c r="H366" s="1486"/>
      <c r="I366" s="1486"/>
      <c r="J366" s="1486"/>
      <c r="K366" s="1486"/>
      <c r="L366" s="1486"/>
      <c r="M366" s="340"/>
      <c r="N366" s="340"/>
      <c r="O366" s="340"/>
      <c r="P366" s="340"/>
      <c r="Q366" s="340"/>
      <c r="R366" s="340"/>
      <c r="S366" s="340"/>
      <c r="T366" s="340"/>
    </row>
    <row r="367" spans="2:20" ht="15.6" customHeight="1">
      <c r="B367" s="354" t="s">
        <v>586</v>
      </c>
      <c r="C367" s="355"/>
      <c r="D367" s="1485" t="s">
        <v>589</v>
      </c>
      <c r="E367" s="1485"/>
      <c r="F367" s="1485"/>
      <c r="G367" s="1485"/>
      <c r="H367" s="1485"/>
      <c r="I367" s="1485"/>
      <c r="J367" s="1485"/>
      <c r="K367" s="1485"/>
      <c r="L367" s="1485"/>
      <c r="M367" s="340"/>
      <c r="N367" s="340"/>
      <c r="O367" s="340"/>
      <c r="P367" s="340"/>
      <c r="Q367" s="340"/>
      <c r="R367" s="340"/>
      <c r="S367" s="340"/>
      <c r="T367" s="340"/>
    </row>
    <row r="368" spans="2:20">
      <c r="B368" s="354"/>
      <c r="C368" s="355"/>
      <c r="D368" s="1485"/>
      <c r="E368" s="1485"/>
      <c r="F368" s="1485"/>
      <c r="G368" s="1485"/>
      <c r="H368" s="1485"/>
      <c r="I368" s="1485"/>
      <c r="J368" s="1485"/>
      <c r="K368" s="1485"/>
      <c r="L368" s="1485"/>
      <c r="M368" s="340"/>
      <c r="N368" s="340"/>
      <c r="O368" s="340"/>
      <c r="P368" s="340"/>
      <c r="Q368" s="340"/>
      <c r="R368" s="340"/>
      <c r="S368" s="340"/>
      <c r="T368" s="340"/>
    </row>
    <row r="369" spans="2:20">
      <c r="B369" s="332"/>
      <c r="C369" s="332"/>
      <c r="D369" s="1485"/>
      <c r="E369" s="1485"/>
      <c r="F369" s="1485"/>
      <c r="G369" s="1485"/>
      <c r="H369" s="1485"/>
      <c r="I369" s="1485"/>
      <c r="J369" s="1485"/>
      <c r="K369" s="1485"/>
      <c r="L369" s="1485"/>
      <c r="M369" s="340"/>
      <c r="N369" s="340"/>
      <c r="O369" s="340"/>
      <c r="P369" s="340"/>
      <c r="Q369" s="340"/>
      <c r="R369" s="340"/>
      <c r="S369" s="340"/>
      <c r="T369" s="340"/>
    </row>
    <row r="370" spans="2:20" ht="18" customHeight="1">
      <c r="B370" s="1113" t="s">
        <v>631</v>
      </c>
      <c r="C370" s="1114"/>
      <c r="D370" s="516" t="s">
        <v>867</v>
      </c>
      <c r="E370" s="577"/>
      <c r="F370" s="577"/>
      <c r="G370" s="577"/>
      <c r="H370" s="332"/>
      <c r="M370" s="340"/>
      <c r="N370" s="340"/>
      <c r="O370" s="340"/>
      <c r="P370" s="340"/>
      <c r="Q370" s="340"/>
      <c r="R370" s="340"/>
      <c r="S370" s="340"/>
      <c r="T370" s="340"/>
    </row>
    <row r="371" spans="2:20">
      <c r="B371" s="332"/>
      <c r="C371" s="332"/>
      <c r="D371" s="332"/>
      <c r="E371" s="332"/>
      <c r="F371" s="332"/>
      <c r="G371" s="332"/>
      <c r="H371" s="332"/>
      <c r="M371" s="340"/>
      <c r="N371" s="340"/>
      <c r="O371" s="340"/>
      <c r="P371" s="340"/>
      <c r="Q371" s="340"/>
      <c r="R371" s="340"/>
      <c r="S371" s="340"/>
      <c r="T371" s="340"/>
    </row>
    <row r="372" spans="2:20">
      <c r="B372" s="1113" t="s">
        <v>990</v>
      </c>
      <c r="C372" s="413"/>
      <c r="D372" s="1477" t="s">
        <v>991</v>
      </c>
      <c r="E372" s="1477"/>
      <c r="F372" s="1477"/>
      <c r="G372" s="1477"/>
      <c r="H372" s="1477"/>
      <c r="I372" s="1477"/>
      <c r="J372" s="1477"/>
      <c r="K372" s="1477"/>
      <c r="L372" s="1477"/>
      <c r="M372" s="340"/>
      <c r="N372" s="340"/>
      <c r="O372" s="340"/>
      <c r="P372" s="340"/>
      <c r="Q372" s="340"/>
      <c r="R372" s="340"/>
      <c r="S372" s="340"/>
      <c r="T372" s="340"/>
    </row>
    <row r="373" spans="2:20">
      <c r="B373" s="413"/>
      <c r="C373" s="413"/>
      <c r="D373" s="1477"/>
      <c r="E373" s="1477"/>
      <c r="F373" s="1477"/>
      <c r="G373" s="1477"/>
      <c r="H373" s="1477"/>
      <c r="I373" s="1477"/>
      <c r="J373" s="1477"/>
      <c r="K373" s="1477"/>
      <c r="L373" s="1477"/>
    </row>
  </sheetData>
  <mergeCells count="26">
    <mergeCell ref="D372:L373"/>
    <mergeCell ref="D291:L291"/>
    <mergeCell ref="D287:L288"/>
    <mergeCell ref="D282:K283"/>
    <mergeCell ref="D279:L279"/>
    <mergeCell ref="D351:L356"/>
    <mergeCell ref="D327:L329"/>
    <mergeCell ref="D322:L325"/>
    <mergeCell ref="D319:K320"/>
    <mergeCell ref="D315:J317"/>
    <mergeCell ref="D306:K308"/>
    <mergeCell ref="D367:L369"/>
    <mergeCell ref="D366:L366"/>
    <mergeCell ref="D364:L365"/>
    <mergeCell ref="D362:L363"/>
    <mergeCell ref="D359:L361"/>
    <mergeCell ref="D309:J310"/>
    <mergeCell ref="D302:K304"/>
    <mergeCell ref="G253:H253"/>
    <mergeCell ref="E177:E178"/>
    <mergeCell ref="B24:I25"/>
    <mergeCell ref="I60:J60"/>
    <mergeCell ref="I63:J63"/>
    <mergeCell ref="I134:J134"/>
    <mergeCell ref="I137:J137"/>
    <mergeCell ref="D42:L42"/>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4" man="1"/>
    <brk id="126" max="14" man="1"/>
    <brk id="214" max="14" man="1"/>
    <brk id="26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4"/>
  <sheetViews>
    <sheetView topLeftCell="A19" zoomScale="85" zoomScaleNormal="85" zoomScaleSheetLayoutView="85" workbookViewId="0">
      <selection activeCell="C41" sqref="C41"/>
    </sheetView>
  </sheetViews>
  <sheetFormatPr defaultColWidth="9.140625" defaultRowHeight="15"/>
  <cols>
    <col min="1" max="1" width="10.42578125" style="55" customWidth="1"/>
    <col min="2" max="2" width="15.140625" style="26" customWidth="1"/>
    <col min="3" max="3" width="59.1406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893" t="s">
        <v>114</v>
      </c>
    </row>
    <row r="2" spans="1:11" ht="15.75">
      <c r="A2" s="893" t="s">
        <v>114</v>
      </c>
    </row>
    <row r="3" spans="1:11">
      <c r="A3" s="1488" t="s">
        <v>387</v>
      </c>
      <c r="B3" s="1488"/>
      <c r="C3" s="1488"/>
      <c r="D3" s="1488"/>
      <c r="E3" s="1488"/>
      <c r="F3" s="1488"/>
      <c r="G3" s="1488"/>
      <c r="H3" s="38"/>
    </row>
    <row r="4" spans="1:11" ht="17.25" customHeight="1">
      <c r="A4" s="1489" t="str">
        <f>"Cost of Service Formula Rate Using Actual/Projected FF1 Balances"</f>
        <v>Cost of Service Formula Rate Using Actual/Projected FF1 Balances</v>
      </c>
      <c r="B4" s="1489"/>
      <c r="C4" s="1489"/>
      <c r="D4" s="1489"/>
      <c r="E4" s="1489"/>
      <c r="F4" s="1489"/>
      <c r="G4" s="1489"/>
      <c r="H4" s="94"/>
      <c r="I4" s="94"/>
      <c r="J4" s="94"/>
      <c r="K4" s="94"/>
    </row>
    <row r="5" spans="1:11" ht="18" customHeight="1">
      <c r="A5" s="1489" t="s">
        <v>488</v>
      </c>
      <c r="B5" s="1489"/>
      <c r="C5" s="1489"/>
      <c r="D5" s="1489"/>
      <c r="E5" s="1489"/>
      <c r="F5" s="1489"/>
      <c r="G5" s="1489"/>
    </row>
    <row r="6" spans="1:11" ht="19.5" customHeight="1">
      <c r="A6" s="1500" t="str">
        <f>TCOS!F9</f>
        <v>Appalachian Power Company</v>
      </c>
      <c r="B6" s="1500"/>
      <c r="C6" s="1500"/>
      <c r="D6" s="1500"/>
      <c r="E6" s="1500"/>
      <c r="F6" s="1500"/>
      <c r="G6" s="1500"/>
    </row>
    <row r="7" spans="1:11" ht="12.75" customHeight="1">
      <c r="A7" s="1488"/>
      <c r="B7" s="1488"/>
      <c r="C7" s="1488"/>
      <c r="D7" s="1488"/>
      <c r="E7" s="1488"/>
      <c r="F7" s="1488"/>
      <c r="G7" s="45"/>
    </row>
    <row r="8" spans="1:11" ht="18">
      <c r="A8" s="1527"/>
      <c r="B8" s="1527"/>
      <c r="C8" s="1527"/>
      <c r="D8" s="1527"/>
      <c r="E8" s="1527"/>
      <c r="F8" s="1527"/>
      <c r="G8" s="1527"/>
    </row>
    <row r="9" spans="1:11" ht="18">
      <c r="A9" s="159"/>
      <c r="B9" s="159"/>
      <c r="C9" s="159"/>
      <c r="D9" s="159"/>
      <c r="E9" s="159"/>
      <c r="F9" s="159"/>
      <c r="G9" s="159"/>
    </row>
    <row r="10" spans="1:11" ht="15.75">
      <c r="B10" s="35" t="s">
        <v>162</v>
      </c>
      <c r="C10" s="35" t="s">
        <v>163</v>
      </c>
      <c r="D10" s="35" t="s">
        <v>164</v>
      </c>
      <c r="E10" s="35" t="s">
        <v>165</v>
      </c>
      <c r="F10" s="35" t="s">
        <v>84</v>
      </c>
      <c r="G10" s="35" t="s">
        <v>85</v>
      </c>
    </row>
    <row r="11" spans="1:11" ht="15.75">
      <c r="B11" s="47"/>
      <c r="C11" s="45"/>
      <c r="D11" s="198"/>
      <c r="E11" s="199"/>
      <c r="F11" s="200" t="s">
        <v>87</v>
      </c>
      <c r="G11" s="35"/>
    </row>
    <row r="12" spans="1:11" ht="15.75">
      <c r="A12" s="50" t="s">
        <v>169</v>
      </c>
      <c r="B12" s="47"/>
      <c r="C12" s="56"/>
      <c r="D12" s="50">
        <f>+TCOS!L4</f>
        <v>2020</v>
      </c>
      <c r="E12" s="200" t="s">
        <v>87</v>
      </c>
      <c r="F12" s="50" t="s">
        <v>115</v>
      </c>
      <c r="G12" s="35"/>
    </row>
    <row r="13" spans="1:11" ht="15.75">
      <c r="A13" s="50" t="s">
        <v>106</v>
      </c>
      <c r="B13" s="50" t="s">
        <v>36</v>
      </c>
      <c r="C13" s="50" t="s">
        <v>167</v>
      </c>
      <c r="D13" s="50" t="s">
        <v>37</v>
      </c>
      <c r="E13" s="50" t="s">
        <v>89</v>
      </c>
      <c r="F13" s="50" t="s">
        <v>38</v>
      </c>
      <c r="G13" s="50" t="s">
        <v>39</v>
      </c>
    </row>
    <row r="14" spans="1:11" ht="15.75">
      <c r="B14" s="50"/>
      <c r="C14" s="50"/>
      <c r="D14" s="50"/>
      <c r="E14" s="50"/>
      <c r="F14" s="50"/>
      <c r="G14" s="50"/>
    </row>
    <row r="15" spans="1:11" ht="15.75">
      <c r="B15" s="50"/>
      <c r="C15" s="50"/>
      <c r="D15" s="50"/>
      <c r="E15" s="50"/>
      <c r="F15" s="50"/>
      <c r="G15" s="50"/>
    </row>
    <row r="16" spans="1:11" ht="15.75">
      <c r="B16" s="50"/>
      <c r="D16" s="50"/>
      <c r="E16" s="50"/>
      <c r="F16" s="50"/>
      <c r="G16" s="50"/>
    </row>
    <row r="17" spans="1:7" ht="15.75">
      <c r="B17" s="50"/>
      <c r="C17" s="50" t="s">
        <v>496</v>
      </c>
      <c r="D17" s="43"/>
      <c r="E17" s="43"/>
      <c r="F17" s="43"/>
      <c r="G17" s="87"/>
    </row>
    <row r="18" spans="1:7">
      <c r="A18" s="55">
        <v>1</v>
      </c>
      <c r="B18" s="1242">
        <v>5660007</v>
      </c>
      <c r="C18" s="860" t="s">
        <v>909</v>
      </c>
      <c r="D18" s="1243">
        <v>-46906875.82</v>
      </c>
      <c r="E18" s="64"/>
      <c r="F18" s="64"/>
      <c r="G18" s="889"/>
    </row>
    <row r="19" spans="1:7">
      <c r="A19" s="55">
        <v>2</v>
      </c>
      <c r="B19" s="1242"/>
      <c r="C19" s="860"/>
      <c r="D19" s="1243"/>
      <c r="E19" s="64"/>
      <c r="F19" s="64"/>
      <c r="G19" s="42"/>
    </row>
    <row r="20" spans="1:7">
      <c r="A20" s="55">
        <v>3</v>
      </c>
      <c r="B20" s="859"/>
      <c r="C20" s="860"/>
      <c r="D20" s="861"/>
      <c r="E20" s="64"/>
      <c r="F20" s="64"/>
      <c r="G20" s="42"/>
    </row>
    <row r="21" spans="1:7" ht="15.75">
      <c r="A21" s="55">
        <v>4</v>
      </c>
      <c r="B21" s="50"/>
      <c r="C21" s="224" t="s">
        <v>118</v>
      </c>
      <c r="D21" s="294">
        <f>SUM(D18:D19)</f>
        <v>-46906875.82</v>
      </c>
      <c r="E21" s="64"/>
      <c r="F21" s="64"/>
      <c r="G21" s="50"/>
    </row>
    <row r="22" spans="1:7" ht="15.75">
      <c r="B22" s="50"/>
      <c r="C22" s="224"/>
      <c r="D22" s="239"/>
      <c r="E22" s="43"/>
      <c r="F22" s="43"/>
      <c r="G22" s="50"/>
    </row>
    <row r="23" spans="1:7" ht="15.75">
      <c r="A23" s="9"/>
      <c r="B23" s="50"/>
      <c r="C23" s="50" t="s">
        <v>49</v>
      </c>
      <c r="D23" s="288"/>
      <c r="E23" s="43"/>
      <c r="F23" s="43"/>
      <c r="G23" s="50"/>
    </row>
    <row r="24" spans="1:7" ht="15.75">
      <c r="A24" s="49">
        <f>+A21+1</f>
        <v>5</v>
      </c>
      <c r="B24" s="291"/>
      <c r="C24" s="289"/>
      <c r="D24" s="1124"/>
      <c r="E24" s="43"/>
      <c r="F24" s="43"/>
      <c r="G24" s="50"/>
    </row>
    <row r="25" spans="1:7" ht="15.75">
      <c r="A25" s="290">
        <f>+A24+1</f>
        <v>6</v>
      </c>
      <c r="B25" s="291" t="s">
        <v>50</v>
      </c>
      <c r="C25" s="291" t="s">
        <v>51</v>
      </c>
      <c r="D25" s="862">
        <v>0</v>
      </c>
      <c r="E25" s="43"/>
      <c r="F25" s="43"/>
      <c r="G25" s="50"/>
    </row>
    <row r="26" spans="1:7" ht="15.75">
      <c r="A26" s="49">
        <f>+A25+1</f>
        <v>7</v>
      </c>
      <c r="B26" s="289" t="s">
        <v>52</v>
      </c>
      <c r="C26" s="289" t="s">
        <v>53</v>
      </c>
      <c r="D26" s="862">
        <v>2188798.96</v>
      </c>
      <c r="E26" s="43"/>
      <c r="F26" s="43"/>
      <c r="G26" s="50"/>
    </row>
    <row r="27" spans="1:7" ht="15.75">
      <c r="A27" s="290">
        <f t="shared" ref="A27:A32" si="0">+A26+1</f>
        <v>8</v>
      </c>
      <c r="B27" s="291" t="s">
        <v>54</v>
      </c>
      <c r="C27" s="291" t="s">
        <v>55</v>
      </c>
      <c r="D27" s="863"/>
      <c r="E27" s="43"/>
      <c r="F27" s="43"/>
      <c r="G27" s="50"/>
    </row>
    <row r="28" spans="1:7" ht="15.75">
      <c r="A28" s="49">
        <f t="shared" si="0"/>
        <v>9</v>
      </c>
      <c r="B28" s="289" t="s">
        <v>56</v>
      </c>
      <c r="C28" s="289" t="s">
        <v>57</v>
      </c>
      <c r="D28" s="862">
        <v>5987262.2599999998</v>
      </c>
      <c r="E28" s="43"/>
      <c r="F28" s="43"/>
      <c r="G28" s="50"/>
    </row>
    <row r="29" spans="1:7" ht="15.75">
      <c r="A29" s="290">
        <f t="shared" si="0"/>
        <v>10</v>
      </c>
      <c r="B29" s="291" t="s">
        <v>58</v>
      </c>
      <c r="C29" s="291" t="s">
        <v>59</v>
      </c>
      <c r="D29" s="862">
        <v>588212.11</v>
      </c>
      <c r="E29" s="43"/>
      <c r="F29" s="43"/>
      <c r="G29" s="50"/>
    </row>
    <row r="30" spans="1:7" ht="15.75">
      <c r="A30" s="49">
        <f t="shared" si="0"/>
        <v>11</v>
      </c>
      <c r="B30" s="289" t="s">
        <v>60</v>
      </c>
      <c r="C30" s="289" t="s">
        <v>61</v>
      </c>
      <c r="D30" s="862">
        <v>0</v>
      </c>
      <c r="E30" s="43"/>
      <c r="F30" s="43"/>
      <c r="G30" s="50"/>
    </row>
    <row r="31" spans="1:7" ht="15.75">
      <c r="A31" s="290">
        <f t="shared" si="0"/>
        <v>12</v>
      </c>
      <c r="B31" s="291" t="s">
        <v>62</v>
      </c>
      <c r="C31" s="291" t="s">
        <v>63</v>
      </c>
      <c r="D31" s="862"/>
      <c r="E31" s="43"/>
      <c r="F31" s="43"/>
      <c r="G31" s="50"/>
    </row>
    <row r="32" spans="1:7" ht="15.75">
      <c r="A32" s="49">
        <f t="shared" si="0"/>
        <v>13</v>
      </c>
      <c r="B32" s="289" t="s">
        <v>64</v>
      </c>
      <c r="C32" s="289" t="s">
        <v>65</v>
      </c>
      <c r="D32" s="862">
        <v>1737954.97</v>
      </c>
      <c r="E32" s="43"/>
      <c r="F32" s="43"/>
      <c r="G32" s="50"/>
    </row>
    <row r="33" spans="1:19" ht="15.75">
      <c r="A33" s="55">
        <f>+A32+1</f>
        <v>14</v>
      </c>
      <c r="B33" s="264"/>
      <c r="C33" s="35" t="s">
        <v>66</v>
      </c>
      <c r="D33" s="265">
        <f>SUM(D24:D32)</f>
        <v>10502228.300000001</v>
      </c>
      <c r="E33" s="43"/>
      <c r="F33" s="43"/>
      <c r="G33" s="50"/>
    </row>
    <row r="34" spans="1:19" ht="15.75">
      <c r="A34" s="220"/>
      <c r="B34" s="63"/>
      <c r="C34" s="50"/>
      <c r="D34" s="50"/>
      <c r="E34" s="50"/>
      <c r="F34" s="50"/>
      <c r="G34" s="50"/>
    </row>
    <row r="35" spans="1:19" ht="15.75">
      <c r="A35" s="220"/>
      <c r="B35" s="49"/>
      <c r="C35" s="98" t="s">
        <v>212</v>
      </c>
      <c r="D35" s="45"/>
      <c r="E35" s="45"/>
      <c r="F35" s="45"/>
      <c r="G35" s="45"/>
    </row>
    <row r="36" spans="1:19">
      <c r="A36" s="55">
        <f>+A33+1</f>
        <v>15</v>
      </c>
      <c r="B36" s="1242" t="s">
        <v>910</v>
      </c>
      <c r="C36" s="860" t="s">
        <v>911</v>
      </c>
      <c r="D36" s="861">
        <v>5723.45</v>
      </c>
      <c r="E36" s="43">
        <f>D36</f>
        <v>5723.45</v>
      </c>
      <c r="F36" s="43">
        <v>0</v>
      </c>
      <c r="G36" s="42" t="s">
        <v>114</v>
      </c>
    </row>
    <row r="37" spans="1:19">
      <c r="A37" s="55">
        <f>+A36+1</f>
        <v>16</v>
      </c>
      <c r="B37" s="859" t="s">
        <v>999</v>
      </c>
      <c r="C37" s="860" t="s">
        <v>996</v>
      </c>
      <c r="D37" s="861">
        <v>1618682.32</v>
      </c>
      <c r="E37" s="43">
        <f>D37</f>
        <v>1618682.32</v>
      </c>
      <c r="F37" s="43">
        <v>0</v>
      </c>
      <c r="G37" s="42" t="s">
        <v>114</v>
      </c>
    </row>
    <row r="38" spans="1:19">
      <c r="A38" s="55">
        <f>+A37+1</f>
        <v>17</v>
      </c>
      <c r="B38" s="859" t="s">
        <v>1000</v>
      </c>
      <c r="C38" s="860" t="s">
        <v>997</v>
      </c>
      <c r="D38" s="861">
        <v>4152021.71</v>
      </c>
      <c r="E38" s="43">
        <f>D38</f>
        <v>4152021.71</v>
      </c>
      <c r="F38" s="43">
        <v>0</v>
      </c>
      <c r="G38" s="42" t="s">
        <v>114</v>
      </c>
    </row>
    <row r="39" spans="1:19">
      <c r="A39" s="55">
        <f>+A38+1</f>
        <v>18</v>
      </c>
      <c r="B39" s="1357" t="s">
        <v>1414</v>
      </c>
      <c r="C39" s="860" t="s">
        <v>1253</v>
      </c>
      <c r="D39" s="861">
        <v>177879.36000000002</v>
      </c>
      <c r="E39" s="43">
        <f>D39</f>
        <v>177879.36000000002</v>
      </c>
      <c r="F39" s="43">
        <v>0</v>
      </c>
      <c r="G39" s="42" t="s">
        <v>114</v>
      </c>
    </row>
    <row r="40" spans="1:19" ht="12.75" customHeight="1">
      <c r="A40" s="55">
        <f>+A39+1</f>
        <v>19</v>
      </c>
      <c r="B40" s="859" t="s">
        <v>1001</v>
      </c>
      <c r="C40" s="860" t="s">
        <v>998</v>
      </c>
      <c r="D40" s="861">
        <v>111668.76000000001</v>
      </c>
      <c r="E40" s="43">
        <v>0</v>
      </c>
      <c r="F40" s="43">
        <f>D40</f>
        <v>111668.76000000001</v>
      </c>
      <c r="G40" s="45"/>
    </row>
    <row r="41" spans="1:19" ht="15.75" customHeight="1">
      <c r="A41" s="55">
        <f>+A40+1</f>
        <v>20</v>
      </c>
      <c r="B41" s="47"/>
      <c r="C41" s="1125" t="s">
        <v>627</v>
      </c>
      <c r="D41" s="58">
        <f>SUM(D36:D40)</f>
        <v>6065975.6000000006</v>
      </c>
      <c r="E41" s="58">
        <f t="shared" ref="E41:F41" si="1">SUM(E36:E40)</f>
        <v>5954306.8400000008</v>
      </c>
      <c r="F41" s="58">
        <f t="shared" si="1"/>
        <v>111668.76000000001</v>
      </c>
      <c r="G41" s="28"/>
    </row>
    <row r="42" spans="1:19" ht="12.75" customHeight="1">
      <c r="B42" s="47"/>
      <c r="C42" s="48"/>
      <c r="D42" s="62"/>
      <c r="E42" s="31"/>
      <c r="F42" s="31"/>
      <c r="G42" s="45"/>
    </row>
    <row r="43" spans="1:19" ht="15.75">
      <c r="B43" s="49"/>
      <c r="C43" s="98" t="s">
        <v>211</v>
      </c>
      <c r="D43" s="31"/>
      <c r="E43" s="31"/>
      <c r="F43" s="31"/>
      <c r="G43" s="45"/>
    </row>
    <row r="44" spans="1:19">
      <c r="A44" s="55">
        <f>+A41+1</f>
        <v>21</v>
      </c>
      <c r="B44" s="1242" t="s">
        <v>912</v>
      </c>
      <c r="C44" s="860" t="s">
        <v>913</v>
      </c>
      <c r="D44" s="1243">
        <v>243263.73</v>
      </c>
      <c r="E44" s="43">
        <f>+D44</f>
        <v>243263.73</v>
      </c>
      <c r="F44" s="43">
        <v>0</v>
      </c>
      <c r="G44"/>
      <c r="M44" s="27"/>
      <c r="N44" s="60"/>
      <c r="O44" s="61"/>
      <c r="P44" s="61"/>
      <c r="Q44" s="61"/>
      <c r="R44" s="61"/>
      <c r="S44" s="29"/>
    </row>
    <row r="45" spans="1:19">
      <c r="A45" s="55">
        <f>+A44+1</f>
        <v>22</v>
      </c>
      <c r="B45" s="1242" t="s">
        <v>914</v>
      </c>
      <c r="C45" s="860" t="s">
        <v>915</v>
      </c>
      <c r="D45" s="1243">
        <v>13161.69</v>
      </c>
      <c r="E45" s="43">
        <f t="shared" ref="E45:E59" si="2">+D45</f>
        <v>13161.69</v>
      </c>
      <c r="F45" s="43">
        <v>0</v>
      </c>
      <c r="G45"/>
      <c r="M45" s="27"/>
      <c r="N45" s="60"/>
      <c r="O45" s="61"/>
      <c r="P45" s="61"/>
      <c r="Q45" s="61"/>
      <c r="R45" s="61"/>
      <c r="S45" s="29"/>
    </row>
    <row r="46" spans="1:19">
      <c r="A46" s="55">
        <f t="shared" ref="A46:A59" si="3">+A45+1</f>
        <v>23</v>
      </c>
      <c r="B46" s="1242" t="s">
        <v>916</v>
      </c>
      <c r="C46" s="860" t="s">
        <v>917</v>
      </c>
      <c r="D46" s="1243">
        <v>4992</v>
      </c>
      <c r="E46" s="43">
        <f t="shared" si="2"/>
        <v>4992</v>
      </c>
      <c r="F46" s="43">
        <v>0</v>
      </c>
      <c r="G46"/>
      <c r="M46" s="27"/>
      <c r="N46" s="60"/>
      <c r="O46" s="61"/>
      <c r="P46" s="61"/>
      <c r="Q46" s="61"/>
      <c r="R46" s="61"/>
      <c r="S46" s="29"/>
    </row>
    <row r="47" spans="1:19">
      <c r="A47" s="55">
        <f t="shared" si="3"/>
        <v>24</v>
      </c>
      <c r="B47" s="1242" t="s">
        <v>918</v>
      </c>
      <c r="C47" s="860" t="s">
        <v>919</v>
      </c>
      <c r="D47" s="1243">
        <v>1800</v>
      </c>
      <c r="E47" s="43">
        <f t="shared" si="2"/>
        <v>1800</v>
      </c>
      <c r="F47" s="43">
        <v>0</v>
      </c>
      <c r="G47"/>
      <c r="M47" s="27"/>
      <c r="N47" s="60"/>
      <c r="O47" s="61"/>
      <c r="P47" s="61"/>
      <c r="Q47" s="61"/>
      <c r="R47" s="61"/>
      <c r="S47" s="29"/>
    </row>
    <row r="48" spans="1:19">
      <c r="A48" s="55">
        <f>+A47+1</f>
        <v>25</v>
      </c>
      <c r="B48" s="1242" t="s">
        <v>920</v>
      </c>
      <c r="C48" s="860" t="s">
        <v>921</v>
      </c>
      <c r="D48" s="1243">
        <v>0</v>
      </c>
      <c r="E48" s="43">
        <f t="shared" si="2"/>
        <v>0</v>
      </c>
      <c r="F48" s="43">
        <v>0</v>
      </c>
      <c r="G48"/>
      <c r="M48" s="27"/>
      <c r="N48" s="60"/>
      <c r="O48" s="61"/>
      <c r="P48" s="61"/>
      <c r="Q48" s="61"/>
      <c r="R48" s="61"/>
      <c r="S48" s="29"/>
    </row>
    <row r="49" spans="1:19">
      <c r="A49" s="55">
        <f t="shared" si="3"/>
        <v>26</v>
      </c>
      <c r="B49" s="1242" t="s">
        <v>922</v>
      </c>
      <c r="C49" s="860" t="s">
        <v>923</v>
      </c>
      <c r="D49" s="1243"/>
      <c r="E49" s="43">
        <f t="shared" si="2"/>
        <v>0</v>
      </c>
      <c r="F49" s="43">
        <v>0</v>
      </c>
      <c r="G49"/>
      <c r="M49" s="27"/>
      <c r="N49" s="60"/>
      <c r="O49" s="61"/>
      <c r="P49" s="61"/>
      <c r="Q49" s="61"/>
      <c r="R49" s="61"/>
      <c r="S49" s="29"/>
    </row>
    <row r="50" spans="1:19">
      <c r="A50" s="55">
        <f t="shared" si="3"/>
        <v>27</v>
      </c>
      <c r="B50" s="1242" t="s">
        <v>924</v>
      </c>
      <c r="C50" s="860" t="s">
        <v>925</v>
      </c>
      <c r="D50" s="1243">
        <v>0</v>
      </c>
      <c r="E50" s="43">
        <f t="shared" si="2"/>
        <v>0</v>
      </c>
      <c r="F50" s="43">
        <v>0</v>
      </c>
      <c r="G50"/>
      <c r="M50" s="27"/>
      <c r="N50" s="60"/>
      <c r="O50" s="61"/>
      <c r="P50" s="61"/>
      <c r="Q50" s="61"/>
      <c r="R50" s="61"/>
      <c r="S50" s="29"/>
    </row>
    <row r="51" spans="1:19">
      <c r="A51" s="55">
        <f t="shared" si="3"/>
        <v>28</v>
      </c>
      <c r="B51" s="1242" t="s">
        <v>926</v>
      </c>
      <c r="C51" s="860" t="s">
        <v>927</v>
      </c>
      <c r="D51" s="1243">
        <v>5225</v>
      </c>
      <c r="E51" s="43">
        <f t="shared" si="2"/>
        <v>5225</v>
      </c>
      <c r="F51" s="43">
        <v>0</v>
      </c>
      <c r="G51"/>
      <c r="M51" s="27"/>
      <c r="N51" s="60"/>
      <c r="O51" s="61"/>
      <c r="P51" s="61"/>
      <c r="Q51" s="61"/>
      <c r="R51" s="61"/>
      <c r="S51" s="29"/>
    </row>
    <row r="52" spans="1:19">
      <c r="A52" s="55">
        <f>A51+1</f>
        <v>29</v>
      </c>
      <c r="B52" s="1242" t="s">
        <v>928</v>
      </c>
      <c r="C52" s="860" t="s">
        <v>929</v>
      </c>
      <c r="D52" s="1243"/>
      <c r="E52" s="43">
        <f t="shared" si="2"/>
        <v>0</v>
      </c>
      <c r="F52" s="43">
        <v>0</v>
      </c>
      <c r="G52"/>
      <c r="M52" s="27"/>
      <c r="N52" s="60"/>
      <c r="O52" s="61"/>
      <c r="P52" s="61"/>
      <c r="Q52" s="61"/>
      <c r="R52" s="61"/>
      <c r="S52" s="29"/>
    </row>
    <row r="53" spans="1:19">
      <c r="A53" s="55">
        <f>A52+1</f>
        <v>30</v>
      </c>
      <c r="B53" s="1242" t="s">
        <v>930</v>
      </c>
      <c r="C53" s="860" t="s">
        <v>931</v>
      </c>
      <c r="D53" s="1243">
        <v>0</v>
      </c>
      <c r="E53" s="43">
        <f t="shared" si="2"/>
        <v>0</v>
      </c>
      <c r="F53" s="43">
        <v>0</v>
      </c>
      <c r="G53"/>
      <c r="M53" s="27"/>
      <c r="N53" s="60"/>
      <c r="O53" s="61"/>
      <c r="P53" s="61"/>
      <c r="Q53" s="61"/>
      <c r="R53" s="61"/>
      <c r="S53" s="29"/>
    </row>
    <row r="54" spans="1:19">
      <c r="A54" s="55">
        <f>A53+1</f>
        <v>31</v>
      </c>
      <c r="B54" s="1242" t="s">
        <v>932</v>
      </c>
      <c r="C54" s="860" t="s">
        <v>933</v>
      </c>
      <c r="D54" s="1243">
        <v>577.58000000000004</v>
      </c>
      <c r="E54" s="43">
        <f t="shared" si="2"/>
        <v>577.58000000000004</v>
      </c>
      <c r="F54" s="43">
        <v>0</v>
      </c>
      <c r="G54"/>
      <c r="M54" s="27"/>
      <c r="N54" s="60"/>
      <c r="O54" s="61"/>
      <c r="P54" s="61"/>
      <c r="Q54" s="61"/>
      <c r="R54" s="61"/>
      <c r="S54" s="29"/>
    </row>
    <row r="55" spans="1:19">
      <c r="A55" s="55">
        <f>A54+1</f>
        <v>32</v>
      </c>
      <c r="B55" s="1242" t="s">
        <v>934</v>
      </c>
      <c r="C55" s="860" t="s">
        <v>935</v>
      </c>
      <c r="D55" s="1243">
        <v>0</v>
      </c>
      <c r="E55" s="43">
        <f t="shared" si="2"/>
        <v>0</v>
      </c>
      <c r="F55" s="46">
        <v>0</v>
      </c>
      <c r="G55"/>
      <c r="M55" s="27"/>
      <c r="N55" s="60"/>
      <c r="O55" s="61"/>
      <c r="P55" s="61"/>
      <c r="Q55" s="61"/>
      <c r="R55" s="61"/>
      <c r="S55" s="29"/>
    </row>
    <row r="56" spans="1:19">
      <c r="A56" s="55">
        <f t="shared" si="3"/>
        <v>33</v>
      </c>
      <c r="B56" s="1242" t="s">
        <v>936</v>
      </c>
      <c r="C56" s="860" t="s">
        <v>937</v>
      </c>
      <c r="D56" s="1243">
        <v>34054.53</v>
      </c>
      <c r="E56" s="43">
        <f t="shared" si="2"/>
        <v>34054.53</v>
      </c>
      <c r="F56" s="46">
        <v>0</v>
      </c>
      <c r="G56"/>
    </row>
    <row r="57" spans="1:19">
      <c r="A57" s="55">
        <f t="shared" si="3"/>
        <v>34</v>
      </c>
      <c r="B57" s="1242" t="s">
        <v>938</v>
      </c>
      <c r="C57" s="860" t="s">
        <v>939</v>
      </c>
      <c r="D57" s="1243"/>
      <c r="E57" s="43">
        <f t="shared" si="2"/>
        <v>0</v>
      </c>
      <c r="F57" s="46">
        <v>0</v>
      </c>
      <c r="G57" s="45"/>
    </row>
    <row r="58" spans="1:19">
      <c r="A58" s="55">
        <f t="shared" si="3"/>
        <v>35</v>
      </c>
      <c r="B58" s="1242" t="s">
        <v>940</v>
      </c>
      <c r="C58" s="860" t="s">
        <v>941</v>
      </c>
      <c r="D58" s="1243">
        <v>1278</v>
      </c>
      <c r="E58" s="43">
        <f t="shared" si="2"/>
        <v>1278</v>
      </c>
      <c r="F58" s="46">
        <v>0</v>
      </c>
      <c r="G58" s="45"/>
    </row>
    <row r="59" spans="1:19">
      <c r="A59" s="55">
        <f t="shared" si="3"/>
        <v>36</v>
      </c>
      <c r="B59" s="1242" t="s">
        <v>942</v>
      </c>
      <c r="C59" s="860" t="s">
        <v>943</v>
      </c>
      <c r="D59" s="1243">
        <v>35826.85</v>
      </c>
      <c r="E59" s="43">
        <f t="shared" si="2"/>
        <v>35826.85</v>
      </c>
      <c r="F59" s="46">
        <v>0</v>
      </c>
      <c r="G59" s="45"/>
    </row>
    <row r="60" spans="1:19">
      <c r="B60" s="44"/>
      <c r="C60" s="45"/>
      <c r="D60" s="51"/>
      <c r="E60" s="52"/>
      <c r="F60" s="51"/>
      <c r="G60" s="45"/>
    </row>
    <row r="61" spans="1:19" ht="15.75">
      <c r="A61" s="55">
        <f>A59+1</f>
        <v>37</v>
      </c>
      <c r="B61" s="47"/>
      <c r="C61" s="1125" t="s">
        <v>628</v>
      </c>
      <c r="D61" s="53">
        <f>SUM(D44:D60)</f>
        <v>340179.38</v>
      </c>
      <c r="E61" s="53">
        <f>SUM(E44:E60)</f>
        <v>340179.38</v>
      </c>
      <c r="F61" s="53">
        <f>SUM(F44:F59)</f>
        <v>0</v>
      </c>
      <c r="G61" s="28"/>
    </row>
    <row r="62" spans="1:19" ht="12.75" customHeight="1">
      <c r="B62" s="37"/>
      <c r="C62" s="37"/>
      <c r="D62" s="37"/>
      <c r="E62" s="37"/>
      <c r="F62" s="37"/>
      <c r="G62" s="37"/>
    </row>
    <row r="63" spans="1:19" ht="15.75">
      <c r="B63" s="35"/>
      <c r="C63" s="98" t="s">
        <v>210</v>
      </c>
      <c r="D63" s="54"/>
      <c r="E63" s="54"/>
      <c r="F63" s="54"/>
      <c r="G63" s="35"/>
    </row>
    <row r="64" spans="1:19">
      <c r="A64" s="55">
        <f>+A61+1</f>
        <v>38</v>
      </c>
      <c r="B64" s="1242" t="s">
        <v>944</v>
      </c>
      <c r="C64" s="860" t="s">
        <v>945</v>
      </c>
      <c r="D64" s="1243">
        <v>1346287.1310000001</v>
      </c>
      <c r="E64" s="43">
        <f>+D64</f>
        <v>1346287.1310000001</v>
      </c>
      <c r="F64" s="46">
        <v>0</v>
      </c>
      <c r="G64" s="27"/>
      <c r="H64" s="27"/>
      <c r="J64" s="29"/>
      <c r="K64" s="29"/>
    </row>
    <row r="65" spans="1:11">
      <c r="A65" s="55">
        <f>+A64+1</f>
        <v>39</v>
      </c>
      <c r="B65" s="1242" t="s">
        <v>946</v>
      </c>
      <c r="C65" s="860" t="s">
        <v>947</v>
      </c>
      <c r="D65" s="1243">
        <v>181880.20300000001</v>
      </c>
      <c r="E65" s="43">
        <f>+D65</f>
        <v>181880.20300000001</v>
      </c>
      <c r="F65" s="46">
        <v>0</v>
      </c>
      <c r="G65" s="27"/>
      <c r="H65" s="27"/>
      <c r="J65" s="29"/>
      <c r="K65" s="29"/>
    </row>
    <row r="66" spans="1:11">
      <c r="A66" s="55">
        <f>+A65+1</f>
        <v>40</v>
      </c>
      <c r="B66" s="1242" t="s">
        <v>948</v>
      </c>
      <c r="C66" s="860" t="s">
        <v>949</v>
      </c>
      <c r="D66" s="1243">
        <v>355.44</v>
      </c>
      <c r="E66" s="43">
        <f>+D66</f>
        <v>355.44</v>
      </c>
      <c r="F66" s="46">
        <v>0</v>
      </c>
      <c r="G66" s="27"/>
      <c r="H66" s="27"/>
      <c r="J66" s="29"/>
      <c r="K66" s="29"/>
    </row>
    <row r="67" spans="1:11">
      <c r="A67" s="55">
        <f t="shared" ref="A67:A69" si="4">+A66+1</f>
        <v>41</v>
      </c>
      <c r="B67" s="1242" t="s">
        <v>950</v>
      </c>
      <c r="C67" s="860" t="s">
        <v>951</v>
      </c>
      <c r="D67" s="1243">
        <v>118088.05</v>
      </c>
      <c r="E67" s="43">
        <f>+D67</f>
        <v>118088.05</v>
      </c>
      <c r="F67" s="46">
        <v>0</v>
      </c>
      <c r="G67" s="27"/>
      <c r="H67" s="27"/>
      <c r="J67" s="29"/>
      <c r="K67" s="29"/>
    </row>
    <row r="68" spans="1:11">
      <c r="A68" s="55">
        <f t="shared" si="4"/>
        <v>42</v>
      </c>
      <c r="B68" s="1242" t="s">
        <v>952</v>
      </c>
      <c r="C68" s="860" t="s">
        <v>953</v>
      </c>
      <c r="D68" s="1243">
        <v>4944739.9759999998</v>
      </c>
      <c r="E68" s="43">
        <f>D68-F68</f>
        <v>2744655.696</v>
      </c>
      <c r="F68" s="46">
        <v>2200084.2799999998</v>
      </c>
      <c r="G68" s="27"/>
      <c r="H68" s="27"/>
      <c r="J68" s="29"/>
      <c r="K68" s="29"/>
    </row>
    <row r="69" spans="1:11">
      <c r="A69" s="55">
        <f t="shared" si="4"/>
        <v>43</v>
      </c>
      <c r="B69" s="1242">
        <v>9302017</v>
      </c>
      <c r="C69" s="860" t="s">
        <v>1378</v>
      </c>
      <c r="D69" s="1243">
        <v>0.8</v>
      </c>
      <c r="E69" s="43">
        <f>+D69</f>
        <v>0.8</v>
      </c>
      <c r="F69" s="46">
        <v>0</v>
      </c>
      <c r="G69" s="37"/>
    </row>
    <row r="70" spans="1:11">
      <c r="B70" s="295"/>
      <c r="C70" s="298"/>
      <c r="D70" s="299"/>
      <c r="E70" s="296"/>
      <c r="F70" s="296"/>
      <c r="G70" s="37"/>
    </row>
    <row r="71" spans="1:11" ht="15.75">
      <c r="A71" s="55">
        <f>+A69+1</f>
        <v>44</v>
      </c>
      <c r="B71" s="37"/>
      <c r="C71" s="1125" t="s">
        <v>629</v>
      </c>
      <c r="D71" s="297">
        <f>SUM(D64:D69)</f>
        <v>6591351.5999999996</v>
      </c>
      <c r="E71" s="297">
        <f>SUM(E64:E69)</f>
        <v>4391267.3199999994</v>
      </c>
      <c r="F71" s="297">
        <f>SUM(F64:F69)</f>
        <v>2200084.2799999998</v>
      </c>
      <c r="G71" s="28"/>
    </row>
    <row r="72" spans="1:11">
      <c r="B72" s="86"/>
      <c r="C72" s="21"/>
      <c r="D72" s="293"/>
      <c r="E72" s="21"/>
      <c r="F72" s="21"/>
      <c r="G72" s="21"/>
    </row>
    <row r="73" spans="1:11" ht="12.75">
      <c r="A73"/>
      <c r="B73"/>
      <c r="C73"/>
      <c r="D73"/>
      <c r="E73"/>
      <c r="F73"/>
    </row>
    <row r="74" spans="1:11" ht="12.75">
      <c r="A74"/>
      <c r="B74"/>
      <c r="C74"/>
      <c r="D74"/>
      <c r="E74"/>
      <c r="F74"/>
    </row>
  </sheetData>
  <mergeCells count="6">
    <mergeCell ref="A3:G3"/>
    <mergeCell ref="A8:G8"/>
    <mergeCell ref="A7:F7"/>
    <mergeCell ref="A4:G4"/>
    <mergeCell ref="A5:G5"/>
    <mergeCell ref="A6:G6"/>
  </mergeCells>
  <phoneticPr fontId="0" type="noConversion"/>
  <pageMargins left="0.44" right="0.52" top="1" bottom="0.67" header="0.75" footer="0.4"/>
  <pageSetup scale="10"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249"/>
  <sheetViews>
    <sheetView view="pageBreakPreview" zoomScaleNormal="100" zoomScaleSheetLayoutView="100" workbookViewId="0">
      <selection activeCell="E15" sqref="E15"/>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893" t="s">
        <v>114</v>
      </c>
    </row>
    <row r="2" spans="1:15" ht="15.75">
      <c r="A2" s="893" t="s">
        <v>114</v>
      </c>
    </row>
    <row r="3" spans="1:15" ht="15">
      <c r="A3" s="1488" t="s">
        <v>387</v>
      </c>
      <c r="B3" s="1488"/>
      <c r="C3" s="1488"/>
      <c r="D3" s="1488"/>
      <c r="E3" s="1488"/>
      <c r="F3" s="1488"/>
      <c r="G3" s="1488"/>
      <c r="H3" s="1488"/>
    </row>
    <row r="4" spans="1:15" ht="15">
      <c r="A4" s="1489" t="str">
        <f>"Cost of Service Formula Rate Using Actual/Projected FF1 Balances"</f>
        <v>Cost of Service Formula Rate Using Actual/Projected FF1 Balances</v>
      </c>
      <c r="B4" s="1489"/>
      <c r="C4" s="1489"/>
      <c r="D4" s="1489"/>
      <c r="E4" s="1489"/>
      <c r="F4" s="1489"/>
      <c r="G4" s="1489"/>
      <c r="H4" s="1489"/>
    </row>
    <row r="5" spans="1:15" ht="15">
      <c r="A5" s="1489" t="s">
        <v>527</v>
      </c>
      <c r="B5" s="1489"/>
      <c r="C5" s="1489"/>
      <c r="D5" s="1489"/>
      <c r="E5" s="1489"/>
      <c r="F5" s="1489"/>
      <c r="G5" s="1489"/>
      <c r="H5" s="1489"/>
    </row>
    <row r="6" spans="1:15" ht="15">
      <c r="A6" s="1500" t="str">
        <f>TCOS!F9</f>
        <v>Appalachian Power Company</v>
      </c>
      <c r="B6" s="1500"/>
      <c r="C6" s="1500"/>
      <c r="D6" s="1500"/>
      <c r="E6" s="1500"/>
      <c r="F6" s="1500"/>
      <c r="G6" s="1500"/>
    </row>
    <row r="7" spans="1:15" ht="12.75" customHeight="1">
      <c r="A7" s="19"/>
      <c r="B7" s="23"/>
      <c r="C7" s="23"/>
      <c r="D7" s="23"/>
      <c r="E7" s="23"/>
      <c r="F7" s="23"/>
      <c r="G7" s="23"/>
      <c r="H7" s="23"/>
      <c r="I7" s="23"/>
      <c r="J7" s="23"/>
      <c r="O7" s="15"/>
    </row>
    <row r="8" spans="1:15" ht="12.75" customHeight="1">
      <c r="A8" s="19"/>
      <c r="B8" s="38"/>
      <c r="C8" s="2"/>
      <c r="D8" s="2"/>
      <c r="E8" s="2"/>
      <c r="F8" s="2"/>
    </row>
    <row r="9" spans="1:15" ht="12.75" customHeight="1">
      <c r="A9" s="19"/>
      <c r="B9" s="17" t="s">
        <v>954</v>
      </c>
      <c r="C9" s="36"/>
      <c r="D9" s="39"/>
      <c r="E9" s="864">
        <v>6.5000000000000002E-2</v>
      </c>
      <c r="F9" s="2"/>
    </row>
    <row r="10" spans="1:15" ht="12.75" customHeight="1">
      <c r="A10" s="19"/>
      <c r="B10" s="17" t="s">
        <v>955</v>
      </c>
      <c r="C10" s="36"/>
      <c r="D10" s="36"/>
      <c r="E10" s="865">
        <v>2.3788E-2</v>
      </c>
      <c r="F10" s="2"/>
    </row>
    <row r="11" spans="1:15" ht="12.75" customHeight="1">
      <c r="A11" s="19"/>
      <c r="B11" s="17" t="s">
        <v>448</v>
      </c>
      <c r="C11" s="36"/>
      <c r="D11" s="36"/>
      <c r="E11" s="305"/>
      <c r="F11" s="40">
        <f>ROUND(E9*E10,4)</f>
        <v>1.5E-3</v>
      </c>
    </row>
    <row r="12" spans="1:15" ht="12.75" customHeight="1">
      <c r="A12" s="19"/>
      <c r="B12" s="17"/>
      <c r="C12" s="36"/>
      <c r="D12" s="36"/>
      <c r="E12" s="305"/>
      <c r="F12" s="40"/>
    </row>
    <row r="13" spans="1:15" ht="12.75" customHeight="1">
      <c r="A13" s="19"/>
      <c r="B13" s="17" t="s">
        <v>956</v>
      </c>
      <c r="C13" s="36"/>
      <c r="D13" s="39"/>
      <c r="E13" s="864">
        <v>6.5000000000000002E-2</v>
      </c>
      <c r="F13" s="2"/>
    </row>
    <row r="14" spans="1:15" ht="12.75" customHeight="1">
      <c r="A14" s="19"/>
      <c r="B14" s="17" t="s">
        <v>955</v>
      </c>
      <c r="C14" s="36"/>
      <c r="D14" s="36"/>
      <c r="E14" s="865">
        <v>0.52300000000000002</v>
      </c>
      <c r="F14" s="2"/>
    </row>
    <row r="15" spans="1:15" ht="12.75" customHeight="1">
      <c r="A15" s="19"/>
      <c r="B15" s="17" t="s">
        <v>448</v>
      </c>
      <c r="C15" s="36"/>
      <c r="D15" s="36"/>
      <c r="E15" s="305"/>
      <c r="F15" s="40">
        <f>ROUND(E13*E14,4)</f>
        <v>3.4000000000000002E-2</v>
      </c>
    </row>
    <row r="16" spans="1:15" ht="12.75" customHeight="1">
      <c r="A16" s="19"/>
      <c r="B16" s="17"/>
      <c r="C16" s="36"/>
      <c r="D16" s="36"/>
      <c r="E16" s="305"/>
      <c r="F16" s="40"/>
    </row>
    <row r="17" spans="1:6" ht="12.75" customHeight="1">
      <c r="A17" s="19"/>
      <c r="B17" s="17" t="s">
        <v>957</v>
      </c>
      <c r="C17" s="36"/>
      <c r="D17" s="39"/>
      <c r="E17" s="864">
        <v>0.06</v>
      </c>
      <c r="F17" s="2"/>
    </row>
    <row r="18" spans="1:6" ht="12.75" customHeight="1">
      <c r="A18" s="19"/>
      <c r="B18" s="17" t="s">
        <v>955</v>
      </c>
      <c r="C18" s="36"/>
      <c r="D18" s="36"/>
      <c r="E18" s="865">
        <v>0</v>
      </c>
      <c r="F18" s="2"/>
    </row>
    <row r="19" spans="1:6" ht="12.75" customHeight="1">
      <c r="A19" s="19"/>
      <c r="B19" s="17" t="s">
        <v>448</v>
      </c>
      <c r="C19" s="36"/>
      <c r="D19" s="36"/>
      <c r="E19" s="305"/>
      <c r="F19" s="40">
        <f>ROUND(E17*E18,4)</f>
        <v>0</v>
      </c>
    </row>
    <row r="20" spans="1:6" ht="12.75" customHeight="1">
      <c r="A20" s="19"/>
      <c r="B20" s="17"/>
      <c r="C20" s="36"/>
      <c r="D20" s="36"/>
      <c r="E20" s="305"/>
      <c r="F20" s="40"/>
    </row>
    <row r="21" spans="1:6" ht="12.75" customHeight="1">
      <c r="A21" s="19"/>
      <c r="B21" s="17" t="s">
        <v>958</v>
      </c>
      <c r="C21" s="36"/>
      <c r="D21" s="39"/>
      <c r="E21" s="864">
        <v>0</v>
      </c>
      <c r="F21" s="41"/>
    </row>
    <row r="22" spans="1:6" ht="12.75" customHeight="1">
      <c r="A22" s="19"/>
      <c r="B22" s="17" t="s">
        <v>959</v>
      </c>
      <c r="C22" s="36"/>
      <c r="D22" s="39"/>
      <c r="E22" s="864">
        <v>0</v>
      </c>
      <c r="F22" s="41"/>
    </row>
    <row r="23" spans="1:6" ht="12.75" customHeight="1">
      <c r="A23" s="19"/>
      <c r="B23" s="17" t="s">
        <v>955</v>
      </c>
      <c r="C23" s="36"/>
      <c r="D23" s="36"/>
      <c r="E23" s="865">
        <v>0</v>
      </c>
      <c r="F23" s="41"/>
    </row>
    <row r="24" spans="1:6" ht="12.75" customHeight="1">
      <c r="A24" s="19"/>
      <c r="B24" s="17" t="s">
        <v>448</v>
      </c>
      <c r="C24" s="36"/>
      <c r="D24" s="36"/>
      <c r="E24" s="305"/>
      <c r="F24" s="40">
        <f>+E21*E22*E23</f>
        <v>0</v>
      </c>
    </row>
    <row r="25" spans="1:6" ht="12.75" customHeight="1">
      <c r="A25" s="19"/>
      <c r="B25" s="17"/>
      <c r="C25" s="36"/>
      <c r="D25" s="36"/>
      <c r="E25" s="305"/>
      <c r="F25" s="40"/>
    </row>
    <row r="26" spans="1:6" ht="12.75" customHeight="1">
      <c r="A26" s="19"/>
      <c r="B26" s="17" t="s">
        <v>960</v>
      </c>
      <c r="C26" s="36"/>
      <c r="D26" s="39"/>
      <c r="E26" s="864">
        <v>0.06</v>
      </c>
      <c r="F26" s="2"/>
    </row>
    <row r="27" spans="1:6" ht="12.75" customHeight="1">
      <c r="A27" s="19"/>
      <c r="B27" s="17" t="s">
        <v>955</v>
      </c>
      <c r="C27" s="36"/>
      <c r="D27" s="36"/>
      <c r="E27" s="865">
        <v>0</v>
      </c>
      <c r="F27" s="2"/>
    </row>
    <row r="28" spans="1:6" ht="12.75" customHeight="1">
      <c r="A28" s="19"/>
      <c r="B28" s="17" t="s">
        <v>448</v>
      </c>
      <c r="C28" s="36"/>
      <c r="D28" s="36"/>
      <c r="E28" s="305"/>
      <c r="F28" s="40">
        <f>ROUND(E26*E27,4)</f>
        <v>0</v>
      </c>
    </row>
    <row r="29" spans="1:6" ht="12.75" customHeight="1">
      <c r="A29" s="19"/>
      <c r="B29" s="17"/>
      <c r="C29" s="36"/>
      <c r="D29" s="36"/>
      <c r="E29" s="305"/>
      <c r="F29" s="40"/>
    </row>
    <row r="30" spans="1:6" ht="12.75" customHeight="1">
      <c r="A30" s="19"/>
      <c r="B30" s="17" t="s">
        <v>961</v>
      </c>
      <c r="C30" s="36"/>
      <c r="D30" s="39"/>
      <c r="E30" s="864">
        <v>9.5000000000000001E-2</v>
      </c>
      <c r="F30" s="2"/>
    </row>
    <row r="31" spans="1:6" ht="12.75" customHeight="1">
      <c r="A31" s="19"/>
      <c r="B31" s="17" t="s">
        <v>955</v>
      </c>
      <c r="C31" s="36"/>
      <c r="D31" s="36"/>
      <c r="E31" s="865">
        <v>3.0000000000000001E-3</v>
      </c>
      <c r="F31" s="2"/>
    </row>
    <row r="32" spans="1:6" ht="12.75" customHeight="1">
      <c r="A32" s="19"/>
      <c r="B32" s="17" t="s">
        <v>448</v>
      </c>
      <c r="C32" s="36"/>
      <c r="D32" s="36"/>
      <c r="E32" s="20"/>
      <c r="F32" s="40">
        <f>ROUND(E30*E31,4)</f>
        <v>2.9999999999999997E-4</v>
      </c>
    </row>
    <row r="33" spans="1:12" ht="12.75" customHeight="1">
      <c r="A33" s="19"/>
      <c r="B33" s="6"/>
    </row>
    <row r="34" spans="1:12" ht="12.75" customHeight="1">
      <c r="A34" s="19"/>
      <c r="B34" s="17"/>
      <c r="C34" s="36"/>
      <c r="D34" s="36"/>
      <c r="E34" s="36"/>
      <c r="F34" s="41"/>
    </row>
    <row r="35" spans="1:12" ht="15.75" thickBot="1">
      <c r="A35" s="22"/>
      <c r="B35" s="20" t="s">
        <v>203</v>
      </c>
      <c r="C35" s="20"/>
      <c r="D35" s="20"/>
      <c r="E35" s="20"/>
      <c r="F35" s="132">
        <f>ROUND(SUM(F11:F34),4)</f>
        <v>3.5799999999999998E-2</v>
      </c>
      <c r="G35" s="21"/>
      <c r="L35" s="22"/>
    </row>
    <row r="36" spans="1:12" ht="13.5" thickTop="1">
      <c r="A36" s="22"/>
      <c r="G36" s="21"/>
      <c r="H36" s="21"/>
      <c r="L36" s="22"/>
    </row>
    <row r="37" spans="1:12">
      <c r="A37" s="22"/>
      <c r="G37" s="21"/>
      <c r="H37" s="21"/>
      <c r="L37" s="22"/>
    </row>
    <row r="38" spans="1:12" ht="12.75" customHeight="1">
      <c r="A38" s="22"/>
      <c r="C38" s="20"/>
      <c r="D38" s="20"/>
      <c r="E38" s="20"/>
      <c r="F38" s="20"/>
      <c r="G38" s="21"/>
      <c r="H38" s="21"/>
      <c r="L38" s="22"/>
    </row>
    <row r="39" spans="1:12" ht="21.75" customHeight="1">
      <c r="A39" s="2"/>
      <c r="B39" s="1528" t="s">
        <v>114</v>
      </c>
      <c r="C39" s="1528"/>
      <c r="D39" s="1528"/>
      <c r="E39" s="1528"/>
      <c r="F39" s="1528"/>
      <c r="G39" s="1528"/>
      <c r="H39" s="21"/>
      <c r="I39" s="19"/>
      <c r="L39" s="21"/>
    </row>
    <row r="40" spans="1:12" ht="12.75" customHeight="1">
      <c r="A40" s="21"/>
      <c r="B40" s="1528"/>
      <c r="C40" s="1528"/>
      <c r="D40" s="1528"/>
      <c r="E40" s="1528"/>
      <c r="F40" s="1528"/>
      <c r="G40" s="1528"/>
      <c r="H40" s="21"/>
      <c r="L40" s="21"/>
    </row>
    <row r="41" spans="1:12" ht="17.25" customHeight="1">
      <c r="A41" s="21"/>
      <c r="B41" s="1528"/>
      <c r="C41" s="1528"/>
      <c r="D41" s="1528"/>
      <c r="E41" s="1528"/>
      <c r="F41" s="1528"/>
      <c r="G41" s="1528"/>
      <c r="H41" s="21"/>
      <c r="I41" s="21"/>
      <c r="L41" s="21"/>
    </row>
    <row r="42" spans="1:12" ht="18" customHeight="1">
      <c r="A42" s="5" t="s">
        <v>499</v>
      </c>
      <c r="B42" s="5" t="s">
        <v>75</v>
      </c>
      <c r="C42" s="5"/>
      <c r="D42" s="5"/>
      <c r="E42" s="5"/>
      <c r="F42" s="5"/>
      <c r="G42" s="5"/>
      <c r="H42" s="21"/>
      <c r="I42" s="21"/>
      <c r="L42" s="21"/>
    </row>
    <row r="249" spans="2:2">
      <c r="B249" t="s">
        <v>114</v>
      </c>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C82"/>
  <sheetViews>
    <sheetView topLeftCell="A36" zoomScale="70" zoomScaleNormal="70" workbookViewId="0">
      <selection activeCell="E65" sqref="E65"/>
    </sheetView>
  </sheetViews>
  <sheetFormatPr defaultColWidth="9.140625" defaultRowHeight="15"/>
  <cols>
    <col min="1" max="1" width="7.42578125" style="124" customWidth="1"/>
    <col min="2" max="2" width="1.5703125" style="125" customWidth="1"/>
    <col min="3" max="3" width="62.42578125" style="125" customWidth="1"/>
    <col min="4" max="4" width="19.140625" style="125" customWidth="1"/>
    <col min="5" max="5" width="22.5703125" style="119" bestFit="1" customWidth="1"/>
    <col min="6" max="6" width="1.5703125" style="110" customWidth="1"/>
    <col min="7" max="7" width="21.85546875" style="110" customWidth="1"/>
    <col min="8" max="8" width="1.5703125" style="110" customWidth="1"/>
    <col min="9" max="9" width="21.42578125" style="110" customWidth="1"/>
    <col min="10" max="10" width="1.5703125" style="110" customWidth="1"/>
    <col min="11" max="11" width="19.42578125" style="110" bestFit="1" customWidth="1"/>
    <col min="12" max="12" width="3.42578125" style="110" customWidth="1"/>
    <col min="13" max="13" width="22.5703125" style="110" customWidth="1"/>
    <col min="14" max="14" width="1.42578125" style="110" customWidth="1"/>
    <col min="15" max="15" width="22.140625" style="216" customWidth="1"/>
    <col min="16" max="16384" width="9.140625" style="110"/>
  </cols>
  <sheetData>
    <row r="1" spans="1:29" ht="15.75">
      <c r="A1" s="893" t="s">
        <v>114</v>
      </c>
    </row>
    <row r="2" spans="1:29" ht="15.75">
      <c r="A2" s="893" t="s">
        <v>114</v>
      </c>
    </row>
    <row r="3" spans="1:29" ht="18.75" customHeight="1">
      <c r="A3" s="1488" t="s">
        <v>387</v>
      </c>
      <c r="B3" s="1488"/>
      <c r="C3" s="1488"/>
      <c r="D3" s="1488"/>
      <c r="E3" s="1488"/>
      <c r="F3" s="1488"/>
      <c r="G3" s="1488"/>
      <c r="H3" s="1488"/>
      <c r="I3" s="1488"/>
      <c r="J3" s="1488"/>
      <c r="K3" s="1488"/>
      <c r="L3" s="1488"/>
      <c r="M3" s="1488"/>
    </row>
    <row r="4" spans="1:29" ht="18.75" customHeight="1">
      <c r="A4" s="1489" t="str">
        <f>"Cost of Service Formula Rate Using Actual/Projected FF1 Balances"</f>
        <v>Cost of Service Formula Rate Using Actual/Projected FF1 Balances</v>
      </c>
      <c r="B4" s="1489"/>
      <c r="C4" s="1489"/>
      <c r="D4" s="1489"/>
      <c r="E4" s="1489"/>
      <c r="F4" s="1489"/>
      <c r="G4" s="1489"/>
      <c r="H4" s="1489"/>
      <c r="I4" s="1489"/>
      <c r="J4" s="1489"/>
      <c r="K4" s="1489"/>
      <c r="L4" s="1489"/>
      <c r="M4" s="1489"/>
    </row>
    <row r="5" spans="1:29" ht="18.75" customHeight="1">
      <c r="A5" s="1489" t="s">
        <v>238</v>
      </c>
      <c r="B5" s="1489"/>
      <c r="C5" s="1489"/>
      <c r="D5" s="1489"/>
      <c r="E5" s="1489"/>
      <c r="F5" s="1489"/>
      <c r="G5" s="1489"/>
      <c r="H5" s="1489"/>
      <c r="I5" s="1489"/>
      <c r="J5" s="1489"/>
      <c r="K5" s="1489"/>
      <c r="L5" s="1489"/>
      <c r="M5" s="1489"/>
    </row>
    <row r="6" spans="1:29" ht="18.75" customHeight="1">
      <c r="A6" s="1496" t="str">
        <f>+TCOS!F9</f>
        <v>Appalachian Power Company</v>
      </c>
      <c r="B6" s="1496"/>
      <c r="C6" s="1496"/>
      <c r="D6" s="1496"/>
      <c r="E6" s="1496"/>
      <c r="F6" s="1496"/>
      <c r="G6" s="1496"/>
      <c r="H6" s="1496"/>
      <c r="I6" s="1496"/>
      <c r="J6" s="1496"/>
      <c r="K6" s="1496"/>
      <c r="L6" s="1496"/>
      <c r="M6" s="1496"/>
    </row>
    <row r="7" spans="1:29" ht="18" customHeight="1">
      <c r="A7" s="1500"/>
      <c r="B7" s="1500"/>
      <c r="C7" s="1500"/>
      <c r="D7" s="1500"/>
      <c r="E7" s="1500"/>
      <c r="F7" s="1500"/>
      <c r="G7" s="1500"/>
      <c r="H7" s="1500"/>
      <c r="I7" s="1500"/>
      <c r="J7" s="1500"/>
      <c r="K7" s="1500"/>
      <c r="L7" s="1500"/>
      <c r="M7" s="1500"/>
    </row>
    <row r="8" spans="1:29" ht="18" customHeight="1">
      <c r="A8" s="1527"/>
      <c r="B8" s="1527"/>
      <c r="C8" s="1527"/>
      <c r="D8" s="1527"/>
      <c r="E8" s="1527"/>
      <c r="F8" s="1527"/>
      <c r="G8" s="1527"/>
      <c r="H8" s="1527"/>
      <c r="I8" s="1527"/>
      <c r="J8" s="1527"/>
      <c r="K8" s="1527"/>
      <c r="L8" s="1527"/>
      <c r="M8" s="1527"/>
    </row>
    <row r="9" spans="1:29" ht="18" customHeight="1">
      <c r="A9" s="159"/>
      <c r="B9" s="159"/>
      <c r="C9" s="159"/>
      <c r="D9" s="159"/>
      <c r="E9" s="159"/>
      <c r="F9" s="159"/>
      <c r="G9" s="159"/>
      <c r="H9" s="159"/>
      <c r="I9" s="159"/>
      <c r="J9" s="159"/>
      <c r="K9" s="159"/>
      <c r="L9" s="159"/>
      <c r="M9" s="159"/>
    </row>
    <row r="10" spans="1:29" ht="19.5" customHeight="1">
      <c r="A10" s="112"/>
      <c r="B10" s="113"/>
      <c r="C10" s="35" t="s">
        <v>162</v>
      </c>
      <c r="E10" s="35" t="s">
        <v>163</v>
      </c>
      <c r="G10" s="35" t="s">
        <v>164</v>
      </c>
      <c r="I10" s="35" t="s">
        <v>165</v>
      </c>
      <c r="K10" s="35" t="s">
        <v>84</v>
      </c>
      <c r="M10" s="35" t="s">
        <v>85</v>
      </c>
    </row>
    <row r="11" spans="1:29" ht="18">
      <c r="A11" s="201"/>
      <c r="B11" s="202"/>
      <c r="C11" s="202"/>
      <c r="D11" s="202"/>
      <c r="E11"/>
      <c r="F11"/>
      <c r="G11"/>
      <c r="H11"/>
      <c r="I11"/>
      <c r="J11"/>
      <c r="K11"/>
      <c r="L11"/>
      <c r="M11"/>
      <c r="Q11" s="38"/>
      <c r="R11" s="38"/>
      <c r="S11" s="38"/>
      <c r="T11" s="38"/>
      <c r="U11" s="38"/>
      <c r="V11" s="38"/>
      <c r="W11" s="38"/>
      <c r="X11" s="38"/>
      <c r="Y11" s="38"/>
      <c r="Z11" s="38"/>
      <c r="AA11" s="38"/>
      <c r="AB11" s="38"/>
      <c r="AC11" s="38"/>
    </row>
    <row r="12" spans="1:29" ht="19.5">
      <c r="A12" s="201" t="s">
        <v>169</v>
      </c>
      <c r="B12" s="202"/>
      <c r="C12" s="202"/>
      <c r="D12" s="202"/>
      <c r="E12" s="203" t="s">
        <v>118</v>
      </c>
      <c r="F12" s="201"/>
      <c r="G12" s="201"/>
      <c r="H12" s="201"/>
      <c r="I12" s="201"/>
      <c r="J12" s="201"/>
      <c r="K12" s="118"/>
      <c r="L12" s="118"/>
      <c r="M12" s="204"/>
    </row>
    <row r="13" spans="1:29" ht="19.5">
      <c r="A13" s="205" t="s">
        <v>117</v>
      </c>
      <c r="B13" s="202"/>
      <c r="C13" s="205" t="s">
        <v>306</v>
      </c>
      <c r="D13" s="202"/>
      <c r="E13" s="206" t="s">
        <v>183</v>
      </c>
      <c r="F13" s="201"/>
      <c r="G13" s="205" t="s">
        <v>309</v>
      </c>
      <c r="H13" s="201"/>
      <c r="I13" s="205" t="s">
        <v>161</v>
      </c>
      <c r="J13" s="201"/>
      <c r="K13" s="207" t="s">
        <v>181</v>
      </c>
      <c r="L13" s="208"/>
      <c r="M13" s="207" t="s">
        <v>310</v>
      </c>
    </row>
    <row r="14" spans="1:29" ht="19.5">
      <c r="A14" s="114"/>
      <c r="B14" s="113"/>
      <c r="C14" s="109"/>
      <c r="D14" s="109"/>
      <c r="E14" s="109" t="s">
        <v>68</v>
      </c>
      <c r="F14" s="109"/>
      <c r="G14" s="109"/>
      <c r="H14" s="109"/>
      <c r="I14" s="109"/>
      <c r="J14" s="109"/>
      <c r="K14" s="108"/>
      <c r="L14" s="108"/>
    </row>
    <row r="15" spans="1:29" ht="19.5">
      <c r="A15" s="112"/>
      <c r="B15" s="113"/>
      <c r="C15" s="113"/>
      <c r="D15" s="113"/>
      <c r="E15" s="115"/>
      <c r="F15" s="111"/>
      <c r="G15" s="111"/>
      <c r="H15" s="111"/>
      <c r="I15" s="107"/>
      <c r="J15" s="111"/>
      <c r="K15" s="108"/>
      <c r="L15" s="108"/>
    </row>
    <row r="16" spans="1:29" ht="19.5">
      <c r="A16" s="112">
        <v>1</v>
      </c>
      <c r="B16" s="113"/>
      <c r="C16" s="116" t="s">
        <v>323</v>
      </c>
      <c r="D16" s="113"/>
      <c r="E16" s="108"/>
      <c r="F16" s="108"/>
      <c r="G16" s="131"/>
      <c r="H16" s="131"/>
      <c r="I16" s="131"/>
      <c r="J16" s="131"/>
      <c r="K16" s="131"/>
      <c r="L16" s="131"/>
      <c r="M16" s="117"/>
    </row>
    <row r="17" spans="1:15" ht="18">
      <c r="A17" s="112">
        <f>+A16+1</f>
        <v>2</v>
      </c>
      <c r="B17" s="113"/>
      <c r="C17" s="216" t="s">
        <v>307</v>
      </c>
      <c r="D17" s="1310"/>
      <c r="E17" s="1311">
        <f>'WS H-1-Detail of Tax Amts'!E15</f>
        <v>58862</v>
      </c>
      <c r="F17" s="216"/>
      <c r="G17" s="1312"/>
      <c r="H17" s="1312"/>
      <c r="I17" s="1312"/>
      <c r="J17" s="1312"/>
      <c r="K17" s="1312"/>
      <c r="L17" s="1312"/>
      <c r="M17" s="217">
        <f>+E17</f>
        <v>58862</v>
      </c>
    </row>
    <row r="18" spans="1:15" ht="18">
      <c r="A18" s="112"/>
      <c r="B18" s="113"/>
      <c r="C18" s="1313"/>
      <c r="D18" s="1310"/>
      <c r="E18" s="1314"/>
      <c r="F18" s="216"/>
      <c r="G18" s="1312"/>
      <c r="H18" s="1312"/>
      <c r="I18" s="1312"/>
      <c r="J18" s="1312"/>
      <c r="K18" s="1312"/>
      <c r="L18" s="1312"/>
      <c r="M18" s="217"/>
    </row>
    <row r="19" spans="1:15" ht="18">
      <c r="A19" s="1087">
        <f>+A17+1</f>
        <v>3</v>
      </c>
      <c r="B19" s="1088"/>
      <c r="C19" s="1315" t="s">
        <v>324</v>
      </c>
      <c r="D19" s="1310"/>
      <c r="E19" s="1314"/>
      <c r="F19" s="216"/>
      <c r="G19" s="1312"/>
      <c r="H19" s="1316"/>
      <c r="I19" s="1316"/>
      <c r="J19" s="1316"/>
      <c r="K19" s="1316"/>
      <c r="L19" s="1316"/>
      <c r="M19" s="1317"/>
    </row>
    <row r="20" spans="1:15" ht="18">
      <c r="A20" s="1087">
        <f>+A19+1</f>
        <v>4</v>
      </c>
      <c r="B20" s="1088"/>
      <c r="C20" s="216" t="s">
        <v>599</v>
      </c>
      <c r="D20" s="216"/>
      <c r="E20" s="1311">
        <f>'WS H-1-Detail of Tax Amts'!E27</f>
        <v>50716722</v>
      </c>
      <c r="F20" s="216"/>
      <c r="G20" s="1312">
        <f>+E20</f>
        <v>50716722</v>
      </c>
      <c r="H20" s="1316"/>
      <c r="I20" s="1316"/>
      <c r="J20" s="1316"/>
      <c r="K20" s="1316"/>
      <c r="L20" s="1316"/>
      <c r="M20" s="1317"/>
      <c r="O20"/>
    </row>
    <row r="21" spans="1:15" ht="18">
      <c r="A21" s="1087">
        <f>+A20+1</f>
        <v>5</v>
      </c>
      <c r="B21" s="1088"/>
      <c r="C21" s="216" t="s">
        <v>600</v>
      </c>
      <c r="D21" s="216"/>
      <c r="E21" s="1311">
        <f>'WS H-1-Detail of Tax Amts'!E35</f>
        <v>25463938</v>
      </c>
      <c r="F21" s="216"/>
      <c r="G21" s="1312">
        <f>+E21</f>
        <v>25463938</v>
      </c>
      <c r="H21" s="1316"/>
      <c r="I21" s="1316"/>
      <c r="J21" s="1316"/>
      <c r="K21" s="1316"/>
      <c r="L21" s="1316"/>
      <c r="M21" s="1317"/>
      <c r="O21"/>
    </row>
    <row r="22" spans="1:15" ht="18">
      <c r="A22" s="1087">
        <f>+A21+1</f>
        <v>6</v>
      </c>
      <c r="B22" s="1088"/>
      <c r="C22" s="216" t="s">
        <v>596</v>
      </c>
      <c r="D22" s="1311"/>
      <c r="E22" s="1311">
        <f>'WS H-1-Detail of Tax Amts'!E46</f>
        <v>1349604</v>
      </c>
      <c r="F22" s="216"/>
      <c r="G22" s="1312">
        <f>+E22</f>
        <v>1349604</v>
      </c>
      <c r="H22" s="1316"/>
      <c r="I22" s="1316"/>
      <c r="J22" s="1316"/>
      <c r="K22" s="1316"/>
      <c r="L22" s="1316"/>
      <c r="M22" s="1317"/>
      <c r="O22"/>
    </row>
    <row r="23" spans="1:15" ht="18">
      <c r="A23" s="1087">
        <f>+A22+1</f>
        <v>7</v>
      </c>
      <c r="B23" s="1088"/>
      <c r="C23" s="216" t="s">
        <v>463</v>
      </c>
      <c r="D23" s="1311"/>
      <c r="E23" s="1311">
        <f>'WS H-1-Detail of Tax Amts'!E52</f>
        <v>2425688</v>
      </c>
      <c r="F23" s="216"/>
      <c r="G23" s="1312">
        <f>E23</f>
        <v>2425688</v>
      </c>
      <c r="H23" s="1316"/>
      <c r="I23" s="1316"/>
      <c r="J23" s="1316"/>
      <c r="K23" s="1316"/>
      <c r="L23" s="1316"/>
      <c r="M23" s="1317"/>
      <c r="O23"/>
    </row>
    <row r="24" spans="1:15" ht="18">
      <c r="A24" s="112"/>
      <c r="B24" s="113"/>
      <c r="C24" s="1313"/>
      <c r="D24" s="1310"/>
      <c r="E24" s="1314"/>
      <c r="F24" s="216"/>
      <c r="G24" s="1312"/>
      <c r="H24" s="1312"/>
      <c r="I24" s="1312"/>
      <c r="J24" s="1312"/>
      <c r="K24" s="1312"/>
      <c r="L24" s="1312"/>
      <c r="M24" s="217"/>
      <c r="O24" s="217"/>
    </row>
    <row r="25" spans="1:15" ht="18">
      <c r="A25" s="112">
        <f>+A23+1</f>
        <v>8</v>
      </c>
      <c r="B25" s="113"/>
      <c r="C25" s="1315" t="s">
        <v>325</v>
      </c>
      <c r="D25" s="1310"/>
      <c r="E25" s="1314"/>
      <c r="F25" s="216"/>
      <c r="G25" s="1312"/>
      <c r="H25" s="1312"/>
      <c r="I25" s="1312"/>
      <c r="J25" s="1312"/>
      <c r="K25" s="1312"/>
      <c r="L25" s="1312"/>
      <c r="M25" s="217"/>
      <c r="O25" s="217"/>
    </row>
    <row r="26" spans="1:15" ht="18">
      <c r="A26" s="112">
        <f>+A25+1</f>
        <v>9</v>
      </c>
      <c r="B26" s="113"/>
      <c r="C26" s="216" t="s">
        <v>321</v>
      </c>
      <c r="D26" s="1310"/>
      <c r="E26" s="1311">
        <f>'WS H-1-Detail of Tax Amts'!E63</f>
        <v>7848861</v>
      </c>
      <c r="F26" s="216"/>
      <c r="G26" s="1312"/>
      <c r="H26" s="1312"/>
      <c r="I26" s="1312">
        <f>+E26</f>
        <v>7848861</v>
      </c>
      <c r="J26" s="1312"/>
      <c r="K26" s="1312"/>
      <c r="L26" s="1312"/>
      <c r="M26" s="217"/>
      <c r="O26" s="217"/>
    </row>
    <row r="27" spans="1:15" ht="18">
      <c r="A27" s="112">
        <f>+A26+1</f>
        <v>10</v>
      </c>
      <c r="B27" s="113"/>
      <c r="C27" s="216" t="s">
        <v>314</v>
      </c>
      <c r="D27" s="1310"/>
      <c r="E27" s="1311">
        <f>'WS H-1-Detail of Tax Amts'!E65</f>
        <v>16828</v>
      </c>
      <c r="F27" s="216"/>
      <c r="G27" s="216"/>
      <c r="H27" s="216"/>
      <c r="I27" s="217">
        <f>+E27</f>
        <v>16828</v>
      </c>
      <c r="J27" s="216"/>
      <c r="K27" s="216"/>
      <c r="L27" s="216"/>
      <c r="M27" s="217"/>
    </row>
    <row r="28" spans="1:15" ht="18">
      <c r="A28" s="112">
        <f>+A27+1</f>
        <v>11</v>
      </c>
      <c r="B28" s="113"/>
      <c r="C28" s="216" t="s">
        <v>315</v>
      </c>
      <c r="D28" s="1310"/>
      <c r="E28" s="1311">
        <f>'WS H-1-Detail of Tax Amts'!E67</f>
        <v>84038</v>
      </c>
      <c r="F28" s="216"/>
      <c r="G28" s="216"/>
      <c r="H28" s="216"/>
      <c r="I28" s="217">
        <f>+E28</f>
        <v>84038</v>
      </c>
      <c r="J28" s="1318"/>
      <c r="K28" s="216"/>
      <c r="L28" s="216"/>
      <c r="M28" s="217"/>
    </row>
    <row r="29" spans="1:15" ht="18">
      <c r="A29" s="112" t="s">
        <v>114</v>
      </c>
      <c r="B29" s="113"/>
      <c r="C29" s="216"/>
      <c r="D29" s="1310"/>
      <c r="E29" s="1314"/>
      <c r="F29" s="216"/>
      <c r="G29" s="216"/>
      <c r="H29" s="216"/>
      <c r="I29" s="217"/>
      <c r="J29" s="126"/>
      <c r="K29" s="128"/>
      <c r="L29" s="128"/>
      <c r="M29" s="217"/>
    </row>
    <row r="30" spans="1:15" ht="18">
      <c r="A30" s="112">
        <f>A28+1</f>
        <v>12</v>
      </c>
      <c r="B30" s="113"/>
      <c r="C30" s="1315" t="s">
        <v>440</v>
      </c>
      <c r="D30" s="1310"/>
      <c r="E30" s="1314"/>
      <c r="F30" s="216"/>
      <c r="G30" s="216"/>
      <c r="H30" s="216"/>
      <c r="I30" s="217"/>
      <c r="J30" s="126"/>
      <c r="K30" s="128"/>
      <c r="L30" s="128"/>
      <c r="M30" s="217"/>
    </row>
    <row r="31" spans="1:15" ht="18">
      <c r="A31" s="112">
        <f>A30+1</f>
        <v>13</v>
      </c>
      <c r="B31" s="113"/>
      <c r="C31" s="1319" t="s">
        <v>441</v>
      </c>
      <c r="D31" s="1320"/>
      <c r="E31" s="1311">
        <f>'WS H-1-Detail of Tax Amts'!E73</f>
        <v>0</v>
      </c>
      <c r="F31" s="1319"/>
      <c r="G31" s="216"/>
      <c r="H31" s="216"/>
      <c r="I31" s="217"/>
      <c r="J31" s="126"/>
      <c r="K31" s="128"/>
      <c r="L31" s="128"/>
      <c r="M31" s="217">
        <f>E31</f>
        <v>0</v>
      </c>
    </row>
    <row r="32" spans="1:15" ht="18">
      <c r="A32" s="112"/>
      <c r="B32" s="113"/>
      <c r="C32" s="216"/>
      <c r="D32" s="1310"/>
      <c r="E32" s="1314"/>
      <c r="F32" s="216"/>
      <c r="G32" s="216"/>
      <c r="H32" s="216"/>
      <c r="I32" s="217"/>
      <c r="J32" s="126"/>
      <c r="K32" s="128"/>
      <c r="L32" s="128"/>
      <c r="M32" s="217"/>
    </row>
    <row r="33" spans="1:13" ht="18">
      <c r="A33" s="120">
        <f>+A31+1</f>
        <v>14</v>
      </c>
      <c r="B33" s="121"/>
      <c r="C33" s="1315" t="s">
        <v>322</v>
      </c>
      <c r="D33" s="1321"/>
      <c r="E33" s="1314"/>
      <c r="F33" s="216"/>
      <c r="G33" s="217"/>
      <c r="H33" s="217"/>
      <c r="I33" s="217"/>
      <c r="J33" s="217"/>
      <c r="K33" s="217"/>
      <c r="L33" s="217"/>
      <c r="M33" s="217"/>
    </row>
    <row r="34" spans="1:13" ht="18">
      <c r="A34" s="120">
        <f>A33+1</f>
        <v>15</v>
      </c>
      <c r="B34" s="121"/>
      <c r="C34" s="216" t="s">
        <v>439</v>
      </c>
      <c r="D34" s="1321"/>
      <c r="E34" s="1311">
        <f>'WS H-1-Detail of Tax Amts'!E77</f>
        <v>47168790</v>
      </c>
      <c r="F34" s="1319"/>
      <c r="G34" s="217"/>
      <c r="H34" s="217"/>
      <c r="I34" s="217"/>
      <c r="J34" s="217"/>
      <c r="K34" s="217"/>
      <c r="L34" s="217"/>
      <c r="M34" s="217">
        <f>E34</f>
        <v>47168790</v>
      </c>
    </row>
    <row r="35" spans="1:13" ht="18">
      <c r="A35" s="112">
        <f>A34+1</f>
        <v>16</v>
      </c>
      <c r="B35" s="113"/>
      <c r="C35" s="216" t="s">
        <v>316</v>
      </c>
      <c r="D35" s="1310"/>
      <c r="E35" s="1322">
        <f>'WS H-1-Detail of Tax Amts'!E81</f>
        <v>4468513</v>
      </c>
      <c r="F35" s="216"/>
      <c r="G35" s="217"/>
      <c r="H35" s="217"/>
      <c r="I35" s="217"/>
      <c r="J35" s="217"/>
      <c r="K35" s="217">
        <f>+E35</f>
        <v>4468513</v>
      </c>
      <c r="L35" s="217"/>
      <c r="M35" s="217"/>
    </row>
    <row r="36" spans="1:13" ht="18">
      <c r="A36" s="112">
        <f t="shared" ref="A36:A42" si="0">+A35+1</f>
        <v>17</v>
      </c>
      <c r="B36" s="113"/>
      <c r="C36" s="216" t="s">
        <v>317</v>
      </c>
      <c r="D36" s="2"/>
      <c r="E36" s="1322">
        <f>'WS H-1-Detail of Tax Amts'!E85</f>
        <v>258957</v>
      </c>
      <c r="F36" s="216"/>
      <c r="G36" s="1322"/>
      <c r="H36" s="1322"/>
      <c r="I36" s="1322"/>
      <c r="J36" s="1322"/>
      <c r="K36" s="217">
        <f>+E36</f>
        <v>258957</v>
      </c>
      <c r="L36" s="1322"/>
      <c r="M36" s="217"/>
    </row>
    <row r="37" spans="1:13" ht="18">
      <c r="A37" s="112">
        <f>+A36+1</f>
        <v>18</v>
      </c>
      <c r="B37" s="113"/>
      <c r="C37" s="216" t="s">
        <v>318</v>
      </c>
      <c r="D37" s="2"/>
      <c r="E37" s="1322">
        <f>'WS H-1-Detail of Tax Amts'!E95</f>
        <v>0</v>
      </c>
      <c r="F37" s="216"/>
      <c r="G37" s="217"/>
      <c r="H37" s="217"/>
      <c r="I37" s="217"/>
      <c r="J37" s="217"/>
      <c r="K37" s="217">
        <f>+E37</f>
        <v>0</v>
      </c>
      <c r="L37" s="217"/>
      <c r="M37" s="217"/>
    </row>
    <row r="38" spans="1:13" ht="18">
      <c r="A38" s="112">
        <f t="shared" si="0"/>
        <v>19</v>
      </c>
      <c r="B38" s="113"/>
      <c r="C38" s="216" t="s">
        <v>319</v>
      </c>
      <c r="D38" s="1310"/>
      <c r="E38" s="1322">
        <f>'WS H-1-Detail of Tax Amts'!E102</f>
        <v>9846733</v>
      </c>
      <c r="F38" s="216"/>
      <c r="G38" s="217"/>
      <c r="H38" s="217"/>
      <c r="I38" s="217"/>
      <c r="J38" s="217"/>
      <c r="K38" s="217">
        <f>+E38</f>
        <v>9846733</v>
      </c>
      <c r="L38" s="217"/>
      <c r="M38" s="217"/>
    </row>
    <row r="39" spans="1:13" ht="18">
      <c r="A39" s="112">
        <f t="shared" si="0"/>
        <v>20</v>
      </c>
      <c r="B39" s="113"/>
      <c r="C39" s="216" t="s">
        <v>320</v>
      </c>
      <c r="D39" s="1310"/>
      <c r="E39" s="1322">
        <f>'WS H-1-Detail of Tax Amts'!E107</f>
        <v>-4123</v>
      </c>
      <c r="F39" s="1319"/>
      <c r="G39" s="217"/>
      <c r="H39" s="217"/>
      <c r="I39" s="217"/>
      <c r="J39" s="217"/>
      <c r="K39" s="217"/>
      <c r="L39" s="217"/>
      <c r="M39" s="217">
        <f>+E39</f>
        <v>-4123</v>
      </c>
    </row>
    <row r="40" spans="1:13" ht="19.5">
      <c r="A40" s="112">
        <f t="shared" si="0"/>
        <v>21</v>
      </c>
      <c r="B40" s="108"/>
      <c r="C40" s="216" t="s">
        <v>308</v>
      </c>
      <c r="D40" s="216"/>
      <c r="E40" s="1322">
        <f>'WS H-1-Detail of Tax Amts'!E114</f>
        <v>13194</v>
      </c>
      <c r="F40" s="216"/>
      <c r="G40" s="217"/>
      <c r="H40" s="217"/>
      <c r="I40" s="217"/>
      <c r="J40" s="217"/>
      <c r="K40" s="217"/>
      <c r="L40" s="217"/>
      <c r="M40" s="217">
        <f>+E40</f>
        <v>13194</v>
      </c>
    </row>
    <row r="41" spans="1:13" ht="19.5">
      <c r="A41" s="112">
        <f t="shared" si="0"/>
        <v>22</v>
      </c>
      <c r="B41" s="108"/>
      <c r="C41" s="2" t="s">
        <v>1360</v>
      </c>
      <c r="D41" s="1319"/>
      <c r="E41" s="1322">
        <f>'WS H-1-Detail of Tax Amts'!E117</f>
        <v>0</v>
      </c>
      <c r="F41" s="1319"/>
      <c r="G41" s="217"/>
      <c r="H41" s="217"/>
      <c r="I41" s="217"/>
      <c r="J41" s="217"/>
      <c r="K41" s="217"/>
      <c r="L41" s="217"/>
      <c r="M41" s="217">
        <f>+E41</f>
        <v>0</v>
      </c>
    </row>
    <row r="42" spans="1:13" ht="19.5">
      <c r="A42" s="112">
        <f t="shared" si="0"/>
        <v>23</v>
      </c>
      <c r="B42" s="108"/>
      <c r="C42" s="2"/>
      <c r="D42" s="1319"/>
      <c r="E42" s="1322"/>
      <c r="F42" s="1319"/>
      <c r="G42" s="217"/>
      <c r="H42" s="217"/>
      <c r="I42" s="217"/>
      <c r="J42" s="217"/>
      <c r="K42" s="217"/>
      <c r="L42" s="217"/>
      <c r="M42" s="217"/>
    </row>
    <row r="43" spans="1:13" ht="18.75" thickBot="1">
      <c r="A43" s="112">
        <f>A42+1</f>
        <v>24</v>
      </c>
      <c r="B43" s="228"/>
      <c r="C43" s="216" t="s">
        <v>311</v>
      </c>
      <c r="D43" s="2"/>
      <c r="E43" s="1323">
        <f>SUM(E17:E41)</f>
        <v>149716605</v>
      </c>
      <c r="F43" s="216"/>
      <c r="G43" s="1323">
        <f>SUM(G17:G41)</f>
        <v>79955952</v>
      </c>
      <c r="H43" s="127"/>
      <c r="I43" s="1323">
        <f>SUM(I17:I41)</f>
        <v>7949727</v>
      </c>
      <c r="J43" s="127"/>
      <c r="K43" s="1323">
        <f>SUM(K17:K41)</f>
        <v>14574203</v>
      </c>
      <c r="L43" s="128"/>
      <c r="M43" s="1323">
        <f>SUM(M17:M41)</f>
        <v>47236723</v>
      </c>
    </row>
    <row r="44" spans="1:13" ht="15.75" thickTop="1">
      <c r="A44" s="6"/>
      <c r="B44" s="228"/>
      <c r="C44" s="216" t="s">
        <v>381</v>
      </c>
      <c r="D44" s="2"/>
      <c r="E44" s="2"/>
      <c r="F44" s="216"/>
      <c r="G44" s="127"/>
      <c r="H44" s="127"/>
      <c r="I44" s="127"/>
      <c r="J44" s="127"/>
      <c r="K44" s="128"/>
      <c r="L44" s="128"/>
      <c r="M44" s="128"/>
    </row>
    <row r="45" spans="1:13">
      <c r="A45" s="6"/>
      <c r="B45" s="228"/>
      <c r="C45" s="1319" t="s">
        <v>79</v>
      </c>
      <c r="D45" s="2"/>
      <c r="E45" s="2"/>
      <c r="F45" s="216"/>
      <c r="G45" s="127"/>
      <c r="H45" s="127"/>
      <c r="I45" s="127"/>
      <c r="J45" s="127"/>
      <c r="K45" s="128"/>
      <c r="L45" s="128"/>
      <c r="M45" s="128"/>
    </row>
    <row r="46" spans="1:13" ht="15.75">
      <c r="A46" s="6"/>
      <c r="B46" s="228"/>
      <c r="C46" s="1529" t="s">
        <v>462</v>
      </c>
      <c r="D46" s="1529"/>
      <c r="E46" s="1529"/>
      <c r="F46" s="1529"/>
      <c r="G46" s="1529"/>
      <c r="H46" s="1529"/>
      <c r="I46" s="1529"/>
      <c r="J46" s="1529"/>
      <c r="K46" s="1529"/>
      <c r="L46" s="1529"/>
      <c r="M46" s="1529"/>
    </row>
    <row r="47" spans="1:13" ht="18">
      <c r="A47" s="112"/>
      <c r="C47" s="216"/>
      <c r="D47" s="216"/>
      <c r="E47" s="1324" t="s">
        <v>229</v>
      </c>
      <c r="F47" s="216"/>
      <c r="G47" s="1324" t="s">
        <v>333</v>
      </c>
      <c r="H47" s="1324"/>
      <c r="I47" s="1324" t="s">
        <v>438</v>
      </c>
      <c r="J47" s="1324"/>
      <c r="K47" s="1324" t="s">
        <v>334</v>
      </c>
      <c r="L47" s="1324"/>
      <c r="M47" s="1324" t="s">
        <v>118</v>
      </c>
    </row>
    <row r="48" spans="1:13" ht="18">
      <c r="A48" s="155">
        <f>+A43+1</f>
        <v>25</v>
      </c>
      <c r="B48" s="156"/>
      <c r="C48" s="1325" t="str">
        <f>"Functionalized Net Plant (TCOS, Lns "&amp;TCOS!B90&amp;" thru "&amp;TCOS!B95&amp;")"</f>
        <v>Functionalized Net Plant (TCOS, Lns 41 thru 46)</v>
      </c>
      <c r="D48" s="1319"/>
      <c r="E48" s="1326">
        <f>+TCOS!G90</f>
        <v>3724469492.9623065</v>
      </c>
      <c r="F48" s="1325"/>
      <c r="G48" s="1326">
        <f>+TCOS!G91</f>
        <v>2975298081.1853843</v>
      </c>
      <c r="H48" s="1325"/>
      <c r="I48" s="1326">
        <f>+TCOS!G92</f>
        <v>2847138111.7776923</v>
      </c>
      <c r="J48" s="1325"/>
      <c r="K48" s="1327">
        <f>+TCOS!G93</f>
        <v>224308512.90076911</v>
      </c>
      <c r="L48" s="1319"/>
      <c r="M48" s="1328">
        <f>SUM(E48:K48)</f>
        <v>9771214198.8261509</v>
      </c>
    </row>
    <row r="49" spans="1:15" ht="18">
      <c r="A49" s="155"/>
      <c r="B49" s="156"/>
      <c r="C49" s="1313" t="s">
        <v>962</v>
      </c>
      <c r="D49" s="1319"/>
      <c r="E49" s="1328"/>
      <c r="F49" s="1319"/>
      <c r="G49" s="1329"/>
      <c r="H49" s="1319"/>
      <c r="I49" s="1328"/>
      <c r="J49" s="1319"/>
      <c r="K49" s="1330"/>
      <c r="L49" s="1319"/>
      <c r="M49" s="1331"/>
      <c r="O49"/>
    </row>
    <row r="50" spans="1:15" ht="18">
      <c r="A50" s="155">
        <f>+A48+1</f>
        <v>26</v>
      </c>
      <c r="B50" s="156"/>
      <c r="C50" s="1319" t="str">
        <f>"Percentage of Plant in "&amp;C49&amp;""</f>
        <v>Percentage of Plant in VIRGINIA JURISDICTION</v>
      </c>
      <c r="D50" s="1319"/>
      <c r="E50" s="1332">
        <v>8.2021709589912506E-2</v>
      </c>
      <c r="F50" s="1329"/>
      <c r="G50" s="1332">
        <v>0.58309432360362101</v>
      </c>
      <c r="H50" s="1329"/>
      <c r="I50" s="1332">
        <v>0.55609260285838003</v>
      </c>
      <c r="J50" s="1329"/>
      <c r="K50" s="1332">
        <v>0.54550013964128996</v>
      </c>
      <c r="L50" s="1319"/>
      <c r="M50" s="1331"/>
      <c r="O50"/>
    </row>
    <row r="51" spans="1:15" ht="18">
      <c r="A51" s="155">
        <f t="shared" ref="A51:A57" si="1">+A50+1</f>
        <v>27</v>
      </c>
      <c r="B51" s="156"/>
      <c r="C51" s="1325" t="str">
        <f>"Net Plant in "&amp;C49&amp;" (Ln "&amp;A48&amp;" * Ln "&amp;A50&amp;")"</f>
        <v>Net Plant in VIRGINIA JURISDICTION (Ln 25 * Ln 26)</v>
      </c>
      <c r="D51" s="1319"/>
      <c r="E51" s="1328">
        <f>+E48*E50</f>
        <v>305487355.12824297</v>
      </c>
      <c r="F51" s="1319"/>
      <c r="G51" s="1328">
        <f>+G48*G50</f>
        <v>1734879422.167943</v>
      </c>
      <c r="H51" s="1319"/>
      <c r="I51" s="1328">
        <f>+I48*I50</f>
        <v>1583272443.2757502</v>
      </c>
      <c r="J51" s="1319"/>
      <c r="K51" s="1328">
        <f>+K48*K50</f>
        <v>122360325.11009964</v>
      </c>
      <c r="L51" s="1319"/>
      <c r="M51" s="1328">
        <f>SUM(E51:K51)</f>
        <v>3745999545.6820359</v>
      </c>
      <c r="O51"/>
    </row>
    <row r="52" spans="1:15" ht="18">
      <c r="A52" s="155">
        <f t="shared" si="1"/>
        <v>28</v>
      </c>
      <c r="B52" s="156"/>
      <c r="C52" s="1325" t="s">
        <v>225</v>
      </c>
      <c r="D52" s="1319"/>
      <c r="E52" s="1458">
        <v>40734474</v>
      </c>
      <c r="F52" s="1319"/>
      <c r="G52" s="1334"/>
      <c r="H52" s="1319"/>
      <c r="I52" s="1334"/>
      <c r="J52" s="1319"/>
      <c r="K52" s="1335"/>
      <c r="L52" s="1319"/>
      <c r="M52" s="1328"/>
      <c r="O52"/>
    </row>
    <row r="53" spans="1:15" ht="18">
      <c r="A53" s="155">
        <f t="shared" si="1"/>
        <v>29</v>
      </c>
      <c r="B53" s="156"/>
      <c r="C53" s="1319" t="str">
        <f>"Taxable Property Basis (Ln "&amp;A51&amp;" - Ln "&amp;A52&amp;")"</f>
        <v>Taxable Property Basis (Ln 27 - Ln 28)</v>
      </c>
      <c r="D53" s="1319"/>
      <c r="E53" s="1328">
        <f>+E51-E52</f>
        <v>264752881.12824297</v>
      </c>
      <c r="F53" s="1319"/>
      <c r="G53" s="1328">
        <f>+G51-G52</f>
        <v>1734879422.167943</v>
      </c>
      <c r="H53" s="1319"/>
      <c r="I53" s="1328">
        <f>+I51-I52</f>
        <v>1583272443.2757502</v>
      </c>
      <c r="J53" s="1319"/>
      <c r="K53" s="1328">
        <f>+K51-K52</f>
        <v>122360325.11009964</v>
      </c>
      <c r="L53" s="1319"/>
      <c r="M53" s="1328">
        <f>SUM(E53:K53)</f>
        <v>3705265071.6820359</v>
      </c>
      <c r="O53"/>
    </row>
    <row r="54" spans="1:15" ht="18">
      <c r="A54" s="155">
        <f t="shared" si="1"/>
        <v>30</v>
      </c>
      <c r="B54" s="156"/>
      <c r="C54" s="1322" t="s">
        <v>461</v>
      </c>
      <c r="D54" s="1319"/>
      <c r="E54" s="1332">
        <v>1</v>
      </c>
      <c r="F54" s="1329"/>
      <c r="G54" s="1332">
        <v>1</v>
      </c>
      <c r="H54" s="1329"/>
      <c r="I54" s="1332">
        <v>1</v>
      </c>
      <c r="J54" s="1329"/>
      <c r="K54" s="1332">
        <v>1</v>
      </c>
      <c r="L54" s="1319"/>
      <c r="M54" s="1336">
        <f>SUM(E54:K54)</f>
        <v>4</v>
      </c>
    </row>
    <row r="55" spans="1:15" ht="18">
      <c r="A55" s="155">
        <f t="shared" si="1"/>
        <v>31</v>
      </c>
      <c r="B55" s="156"/>
      <c r="C55" s="1325" t="str">
        <f>"Weighted Net Plant (Ln "&amp;A53&amp;" * Ln "&amp;A54&amp;")"</f>
        <v>Weighted Net Plant (Ln 29 * Ln 30)</v>
      </c>
      <c r="D55" s="1319"/>
      <c r="E55" s="1328">
        <f>+E53*E54</f>
        <v>264752881.12824297</v>
      </c>
      <c r="F55" s="1319"/>
      <c r="G55" s="1328">
        <f>+G53*G54</f>
        <v>1734879422.167943</v>
      </c>
      <c r="H55" s="1319"/>
      <c r="I55" s="1328">
        <f>+I53*I54</f>
        <v>1583272443.2757502</v>
      </c>
      <c r="J55" s="1319"/>
      <c r="K55" s="1328">
        <f>+K53*K54</f>
        <v>122360325.11009964</v>
      </c>
      <c r="L55" s="1319"/>
      <c r="M55" s="1328"/>
    </row>
    <row r="56" spans="1:15" ht="18">
      <c r="A56" s="155">
        <f t="shared" si="1"/>
        <v>32</v>
      </c>
      <c r="B56" s="156"/>
      <c r="C56" s="1319" t="str">
        <f>+"General Plant Allocator (Ln "&amp;A55&amp;" / (Total - General Plant))"</f>
        <v>General Plant Allocator (Ln 31 / (Total - General Plant))</v>
      </c>
      <c r="D56" s="1319"/>
      <c r="E56" s="1337">
        <f>IF(E54=0,0,+E55/($E55+$G55+$I55))</f>
        <v>7.389336302662082E-2</v>
      </c>
      <c r="F56" s="1319"/>
      <c r="G56" s="1337">
        <f>IF(G54=0,0,+G55/($E55+$G55+$I55))</f>
        <v>0.48421031115266094</v>
      </c>
      <c r="H56" s="1319"/>
      <c r="I56" s="1337">
        <f>IF(I54=0,0,+I55/($E55+$G55+$I55))</f>
        <v>0.44189632582071825</v>
      </c>
      <c r="J56" s="1319"/>
      <c r="K56" s="1337">
        <v>-1</v>
      </c>
      <c r="L56" s="1319"/>
      <c r="M56" s="1319"/>
    </row>
    <row r="57" spans="1:15" ht="18">
      <c r="A57" s="155">
        <f t="shared" si="1"/>
        <v>33</v>
      </c>
      <c r="B57" s="156"/>
      <c r="C57" s="1319" t="str">
        <f>"Functionalized General Plant (Ln "&amp;A56&amp;" * General Plant)"</f>
        <v>Functionalized General Plant (Ln 32 * General Plant)</v>
      </c>
      <c r="D57" s="1319"/>
      <c r="E57" s="1338">
        <f>ROUND($K55*E56,0)</f>
        <v>9041616</v>
      </c>
      <c r="F57" s="1319"/>
      <c r="G57" s="1338">
        <f>+G56*K55</f>
        <v>59248131.094302103</v>
      </c>
      <c r="H57" s="1319"/>
      <c r="I57" s="1338">
        <f>ROUND($K55*I56,0)</f>
        <v>54070578</v>
      </c>
      <c r="J57" s="1319"/>
      <c r="K57" s="1338">
        <f>ROUND($K55*K56,0)</f>
        <v>-122360325</v>
      </c>
      <c r="L57" s="1319"/>
      <c r="M57" s="1328">
        <f>IF(SUM(E57:K57)&lt;&gt;0,0,0)</f>
        <v>0</v>
      </c>
    </row>
    <row r="58" spans="1:15" ht="18">
      <c r="A58" s="155">
        <f>+A57+1</f>
        <v>34</v>
      </c>
      <c r="B58" s="156"/>
      <c r="C58" s="1319" t="str">
        <f>"Weighted "&amp;C49&amp;" Plant (Ln "&amp;A55&amp;" + "&amp;A57&amp;")"</f>
        <v>Weighted VIRGINIA JURISDICTION Plant (Ln 31 + 33)</v>
      </c>
      <c r="D58" s="1319"/>
      <c r="E58" s="1328">
        <f>+E55+E57</f>
        <v>273794497.12824297</v>
      </c>
      <c r="F58" s="1319"/>
      <c r="G58" s="1330">
        <f>+G55+G57</f>
        <v>1794127553.2622452</v>
      </c>
      <c r="H58" s="1319"/>
      <c r="I58" s="1328">
        <f>+I55+I57</f>
        <v>1637343021.2757502</v>
      </c>
      <c r="J58" s="1319"/>
      <c r="K58" s="1328">
        <f>+K55+K57</f>
        <v>0.11009964346885681</v>
      </c>
      <c r="L58" s="1319"/>
      <c r="M58" s="1328">
        <f>SUM(E58:K58)-SUM(E57:K57)</f>
        <v>3705265071.6820359</v>
      </c>
    </row>
    <row r="59" spans="1:15" ht="18">
      <c r="A59" s="155">
        <f>+A58+1</f>
        <v>35</v>
      </c>
      <c r="B59" s="156"/>
      <c r="C59" s="1319" t="str">
        <f>"Functional Percentage (Ln "&amp;A58&amp;"/Total Ln "&amp;A58&amp;")"</f>
        <v>Functional Percentage (Ln 34/Total Ln 34)</v>
      </c>
      <c r="D59" s="1319"/>
      <c r="E59" s="1329">
        <f>+E58/M58</f>
        <v>7.3893363047289801E-2</v>
      </c>
      <c r="F59" s="1319"/>
      <c r="G59" s="1339">
        <f>+G58/M58</f>
        <v>0.48421031115266094</v>
      </c>
      <c r="H59" s="1319"/>
      <c r="I59" s="1329">
        <f>+I58/M58</f>
        <v>0.44189632579578569</v>
      </c>
      <c r="J59" s="1319"/>
      <c r="K59" s="2"/>
      <c r="L59" s="1319"/>
      <c r="M59" s="1328"/>
    </row>
    <row r="60" spans="1:15" ht="18">
      <c r="A60" s="155"/>
      <c r="B60" s="156"/>
      <c r="C60" s="1313" t="s">
        <v>963</v>
      </c>
      <c r="D60" s="1319"/>
      <c r="E60" s="1328"/>
      <c r="F60" s="1319"/>
      <c r="G60" s="1328"/>
      <c r="H60" s="1319"/>
      <c r="I60" s="1328"/>
      <c r="J60" s="1319"/>
      <c r="K60" s="1330"/>
      <c r="L60" s="1319"/>
      <c r="M60" s="1328"/>
    </row>
    <row r="61" spans="1:15" ht="18">
      <c r="A61" s="155">
        <f>+A59+1</f>
        <v>36</v>
      </c>
      <c r="B61" s="156"/>
      <c r="C61" s="1319" t="str">
        <f>"Percentage of Plant in "&amp;C60&amp;""</f>
        <v>Percentage of Plant in WEST VA JURISDICTION</v>
      </c>
      <c r="D61" s="1319"/>
      <c r="E61" s="1332">
        <v>0.90068789824343598</v>
      </c>
      <c r="F61" s="1329"/>
      <c r="G61" s="1332">
        <v>0.39326664835500902</v>
      </c>
      <c r="H61" s="1329"/>
      <c r="I61" s="1332">
        <v>0.443897042146914</v>
      </c>
      <c r="J61" s="1329"/>
      <c r="K61" s="1332">
        <v>0.45310876217070001</v>
      </c>
      <c r="L61" s="1319"/>
      <c r="M61" s="1340"/>
    </row>
    <row r="62" spans="1:15" ht="18">
      <c r="A62" s="155">
        <f t="shared" ref="A62:A69" si="2">+A61+1</f>
        <v>37</v>
      </c>
      <c r="B62" s="156"/>
      <c r="C62" s="1325" t="str">
        <f>"Net Plant in "&amp;C60&amp;" (Ln "&amp;A48&amp;" * Ln "&amp;A61&amp;")"</f>
        <v>Net Plant in WEST VA JURISDICTION (Ln 25 * Ln 36)</v>
      </c>
      <c r="D62" s="2"/>
      <c r="E62" s="1328">
        <f>+E61*E48</f>
        <v>3354584599.6880155</v>
      </c>
      <c r="F62" s="1319"/>
      <c r="G62" s="1328">
        <f>+G61*G48</f>
        <v>1170085504.2448657</v>
      </c>
      <c r="H62" s="1319"/>
      <c r="I62" s="1328">
        <f>+I61*I48</f>
        <v>1263836186.4018674</v>
      </c>
      <c r="J62" s="1319"/>
      <c r="K62" s="1328">
        <f>+K61*K48</f>
        <v>101636152.62481798</v>
      </c>
      <c r="L62" s="1319"/>
      <c r="M62" s="1328">
        <f>SUM(E62:K62)</f>
        <v>5890142442.9595671</v>
      </c>
    </row>
    <row r="63" spans="1:15" ht="18">
      <c r="A63" s="155">
        <f t="shared" si="2"/>
        <v>38</v>
      </c>
      <c r="B63" s="156"/>
      <c r="C63" s="1325" t="s">
        <v>225</v>
      </c>
      <c r="D63" s="2"/>
      <c r="E63" s="1458">
        <v>1839121095</v>
      </c>
      <c r="F63" s="1319"/>
      <c r="G63" s="1334"/>
      <c r="H63" s="1319"/>
      <c r="I63" s="1334"/>
      <c r="J63" s="1319"/>
      <c r="K63" s="1335"/>
      <c r="L63" s="1319"/>
      <c r="M63" s="1328"/>
    </row>
    <row r="64" spans="1:15" ht="18">
      <c r="A64" s="155">
        <f t="shared" si="2"/>
        <v>39</v>
      </c>
      <c r="B64" s="156"/>
      <c r="C64" s="1319" t="str">
        <f>"Taxable Property Basis (Ln "&amp;A62&amp;" - Ln "&amp;A63&amp;")"</f>
        <v>Taxable Property Basis (Ln 37 - Ln 38)</v>
      </c>
      <c r="D64" s="2"/>
      <c r="E64" s="1328">
        <f>+E62-E63</f>
        <v>1515463504.6880155</v>
      </c>
      <c r="F64" s="1319"/>
      <c r="G64" s="1328">
        <f>+G62-G63</f>
        <v>1170085504.2448657</v>
      </c>
      <c r="H64" s="1319"/>
      <c r="I64" s="1328">
        <f>+I62-I63</f>
        <v>1263836186.4018674</v>
      </c>
      <c r="J64" s="1319"/>
      <c r="K64" s="1328">
        <f>+K62-K63</f>
        <v>101636152.62481798</v>
      </c>
      <c r="L64" s="1319"/>
      <c r="M64" s="1328">
        <f>SUM(E64:K64)</f>
        <v>4051021347.9595666</v>
      </c>
    </row>
    <row r="65" spans="1:13" ht="18">
      <c r="A65" s="155">
        <f t="shared" si="2"/>
        <v>40</v>
      </c>
      <c r="B65" s="156"/>
      <c r="C65" s="1322" t="s">
        <v>461</v>
      </c>
      <c r="D65" s="2"/>
      <c r="E65" s="1332">
        <v>1</v>
      </c>
      <c r="F65" s="1329"/>
      <c r="G65" s="1332">
        <v>1</v>
      </c>
      <c r="H65" s="1329"/>
      <c r="I65" s="1332">
        <v>1</v>
      </c>
      <c r="J65" s="1329"/>
      <c r="K65" s="1332">
        <v>1</v>
      </c>
      <c r="L65" s="1319"/>
      <c r="M65" s="1336">
        <f>SUM(E65:K65)</f>
        <v>4</v>
      </c>
    </row>
    <row r="66" spans="1:13" ht="18">
      <c r="A66" s="155">
        <f t="shared" si="2"/>
        <v>41</v>
      </c>
      <c r="B66" s="156"/>
      <c r="C66" s="1325" t="str">
        <f>"Weighted Net Plant (Ln "&amp;A64&amp;" * Ln "&amp;A65&amp;")"</f>
        <v>Weighted Net Plant (Ln 39 * Ln 40)</v>
      </c>
      <c r="D66" s="2"/>
      <c r="E66" s="1328">
        <f>+E64*E65</f>
        <v>1515463504.6880155</v>
      </c>
      <c r="F66" s="1319"/>
      <c r="G66" s="1328">
        <f>+G64*G65</f>
        <v>1170085504.2448657</v>
      </c>
      <c r="H66" s="1319"/>
      <c r="I66" s="1328">
        <f>+I64*I65</f>
        <v>1263836186.4018674</v>
      </c>
      <c r="J66" s="1319"/>
      <c r="K66" s="1328">
        <f>+K64*K65</f>
        <v>101636152.62481798</v>
      </c>
      <c r="L66" s="1319"/>
      <c r="M66" s="1328"/>
    </row>
    <row r="67" spans="1:13" ht="18">
      <c r="A67" s="155">
        <f t="shared" si="2"/>
        <v>42</v>
      </c>
      <c r="B67" s="156"/>
      <c r="C67" s="1319" t="str">
        <f>+"General Plant Allocator (Ln "&amp;A66&amp;" / (Total - General Plant))"</f>
        <v>General Plant Allocator (Ln 41 / (Total - General Plant))</v>
      </c>
      <c r="D67" s="1319"/>
      <c r="E67" s="1337">
        <f>IF(E65=0,0,+E66/($E66+$G66+$I66))</f>
        <v>0.38372137174114396</v>
      </c>
      <c r="F67" s="1319"/>
      <c r="G67" s="1337">
        <f>IF(G65=0,0,+G66/($E66+$G66+$I66))</f>
        <v>0.29627029179808567</v>
      </c>
      <c r="H67" s="1319"/>
      <c r="I67" s="1337">
        <f>IF(I65=0,0,+I66/($E66+$G66+$I66))</f>
        <v>0.32000833646077032</v>
      </c>
      <c r="J67" s="1319"/>
      <c r="K67" s="1337">
        <v>-1</v>
      </c>
      <c r="L67" s="1319"/>
      <c r="M67" s="1319"/>
    </row>
    <row r="68" spans="1:13" ht="18">
      <c r="A68" s="155">
        <f t="shared" si="2"/>
        <v>43</v>
      </c>
      <c r="B68" s="156"/>
      <c r="C68" s="1319" t="str">
        <f>"Functionalized General Plant (Ln "&amp;A67&amp;" * General Plant)"</f>
        <v>Functionalized General Plant (Ln 42 * General Plant)</v>
      </c>
      <c r="D68" s="1319"/>
      <c r="E68" s="1338">
        <f>ROUND($K66*E67,0)</f>
        <v>38999964</v>
      </c>
      <c r="F68" s="1319"/>
      <c r="G68" s="1338">
        <f>+G67*K66</f>
        <v>30111772.595389593</v>
      </c>
      <c r="H68" s="1319"/>
      <c r="I68" s="1338">
        <f>ROUND($K66*I67,0)</f>
        <v>32524416</v>
      </c>
      <c r="J68" s="1319"/>
      <c r="K68" s="1338">
        <f>ROUND($K66*K67,0)</f>
        <v>-101636153</v>
      </c>
      <c r="L68" s="1319"/>
      <c r="M68" s="1328">
        <f>IF(SUM(E68:K68)&lt;&gt;0,0,0)</f>
        <v>0</v>
      </c>
    </row>
    <row r="69" spans="1:13" ht="18">
      <c r="A69" s="155">
        <f t="shared" si="2"/>
        <v>44</v>
      </c>
      <c r="B69" s="156"/>
      <c r="C69" s="1319" t="str">
        <f>"Weighted "&amp;C60&amp;" Plant (Ln "&amp;A66&amp;" + "&amp;A68&amp;")"</f>
        <v>Weighted WEST VA JURISDICTION Plant (Ln 41 + 43)</v>
      </c>
      <c r="D69" s="1319"/>
      <c r="E69" s="1328">
        <f>+E66+E68</f>
        <v>1554463468.6880155</v>
      </c>
      <c r="F69" s="1319"/>
      <c r="G69" s="1330">
        <f>+G66+G68</f>
        <v>1200197276.8402553</v>
      </c>
      <c r="H69" s="1319"/>
      <c r="I69" s="1328">
        <f>+I66+I68</f>
        <v>1296360602.4018674</v>
      </c>
      <c r="J69" s="1319"/>
      <c r="K69" s="1328">
        <f>+K66+K68</f>
        <v>-0.37518201768398285</v>
      </c>
      <c r="L69" s="1319"/>
      <c r="M69" s="1328">
        <f>SUM(E69:K69)-SUM(E68:K68)</f>
        <v>4051021347.9595666</v>
      </c>
    </row>
    <row r="70" spans="1:13" ht="18">
      <c r="A70" s="155">
        <f>+A69+1</f>
        <v>45</v>
      </c>
      <c r="B70" s="156"/>
      <c r="C70" s="1319" t="str">
        <f>"Functional Percentage (Ln "&amp;A69&amp;"/Total Ln "&amp;A69&amp;")"</f>
        <v>Functional Percentage (Ln 44/Total Ln 44)</v>
      </c>
      <c r="D70" s="1319"/>
      <c r="E70" s="1329">
        <f>+E69/M69</f>
        <v>0.38372137176491883</v>
      </c>
      <c r="F70" s="1319"/>
      <c r="G70" s="1339">
        <f>+G69/M69</f>
        <v>0.29627029179808573</v>
      </c>
      <c r="H70" s="1319"/>
      <c r="I70" s="1329">
        <f>+I69/M69</f>
        <v>0.32000833642973103</v>
      </c>
      <c r="J70" s="1319"/>
      <c r="K70" s="2"/>
      <c r="L70" s="1319"/>
      <c r="M70" s="1328"/>
    </row>
    <row r="71" spans="1:13" ht="18">
      <c r="A71" s="155"/>
      <c r="B71" s="156"/>
      <c r="C71" s="1341" t="s">
        <v>1252</v>
      </c>
      <c r="D71" s="1319"/>
      <c r="E71" s="1342"/>
      <c r="F71" s="1343"/>
      <c r="G71" s="1344"/>
      <c r="H71" s="1343"/>
      <c r="I71" s="1342"/>
      <c r="J71" s="1343"/>
      <c r="K71" s="1345"/>
      <c r="L71" s="1319"/>
      <c r="M71" s="1328"/>
    </row>
    <row r="72" spans="1:13" ht="18">
      <c r="A72" s="155">
        <f>+A70+1</f>
        <v>46</v>
      </c>
      <c r="B72" s="156"/>
      <c r="C72" s="1319" t="str">
        <f>"Net Plant in "&amp;C71&amp;" (Ln "&amp;A48&amp;" - Ln "&amp;A51&amp;" - Ln "&amp;A62&amp;")"</f>
        <v>Net Plant in TENNESSEE JURISDICTION (Ln 25 - Ln 27 - Ln 37)</v>
      </c>
      <c r="D72" s="1319"/>
      <c r="E72" s="1342">
        <f>+E48-E51-E62</f>
        <v>64397538.146048069</v>
      </c>
      <c r="F72" s="1343"/>
      <c r="G72" s="1342">
        <f>+G48-G51-G62</f>
        <v>70333154.772575617</v>
      </c>
      <c r="H72" s="1343"/>
      <c r="I72" s="1342">
        <f>+I48-I51-I62</f>
        <v>29482.100074768066</v>
      </c>
      <c r="J72" s="1343"/>
      <c r="K72" s="1342">
        <f>+K48-K51-K62</f>
        <v>312035.16585148871</v>
      </c>
      <c r="L72" s="1319"/>
      <c r="M72" s="1328">
        <f>SUM(E72:K72)</f>
        <v>135072210.18454993</v>
      </c>
    </row>
    <row r="73" spans="1:13" ht="18">
      <c r="A73" s="155">
        <f t="shared" ref="A73:A79" si="3">+A72+1</f>
        <v>47</v>
      </c>
      <c r="B73" s="156"/>
      <c r="C73" s="1319" t="s">
        <v>597</v>
      </c>
      <c r="D73" s="1319"/>
      <c r="E73" s="1333"/>
      <c r="F73" s="1343"/>
      <c r="G73" s="1346"/>
      <c r="H73" s="1343"/>
      <c r="I73" s="1346"/>
      <c r="J73" s="1343"/>
      <c r="K73" s="1347"/>
      <c r="L73" s="1319"/>
      <c r="M73" s="1328"/>
    </row>
    <row r="74" spans="1:13" ht="18">
      <c r="A74" s="155">
        <f t="shared" si="3"/>
        <v>48</v>
      </c>
      <c r="B74" s="156"/>
      <c r="C74" s="1319" t="s">
        <v>598</v>
      </c>
      <c r="D74" s="1319"/>
      <c r="E74" s="1342">
        <f>+E72-E73</f>
        <v>64397538.146048069</v>
      </c>
      <c r="F74" s="1343"/>
      <c r="G74" s="1342">
        <f>+G72-G73</f>
        <v>70333154.772575617</v>
      </c>
      <c r="H74" s="1343"/>
      <c r="I74" s="1342">
        <f>+I72-I73</f>
        <v>29482.100074768066</v>
      </c>
      <c r="J74" s="1343"/>
      <c r="K74" s="1342">
        <f>+K72-K73</f>
        <v>312035.16585148871</v>
      </c>
      <c r="L74" s="1319"/>
      <c r="M74" s="1328">
        <f>SUM(E74:K74)</f>
        <v>135072210.18454993</v>
      </c>
    </row>
    <row r="75" spans="1:13" ht="18">
      <c r="A75" s="155">
        <f t="shared" si="3"/>
        <v>49</v>
      </c>
      <c r="B75" s="156"/>
      <c r="C75" s="1322" t="s">
        <v>461</v>
      </c>
      <c r="D75" s="1319"/>
      <c r="E75" s="1332">
        <v>1</v>
      </c>
      <c r="F75" s="1329"/>
      <c r="G75" s="1332">
        <v>1</v>
      </c>
      <c r="H75" s="1329"/>
      <c r="I75" s="1332">
        <v>1</v>
      </c>
      <c r="J75" s="1329"/>
      <c r="K75" s="1332">
        <v>1</v>
      </c>
      <c r="L75" s="1319"/>
      <c r="M75" s="1328"/>
    </row>
    <row r="76" spans="1:13" ht="18">
      <c r="A76" s="155">
        <f t="shared" si="3"/>
        <v>50</v>
      </c>
      <c r="B76" s="156"/>
      <c r="C76" s="1319" t="str">
        <f>"Weighted Net Plant (Ln "&amp;A74&amp;" * Ln "&amp;A75&amp;")"</f>
        <v>Weighted Net Plant (Ln 48 * Ln 49)</v>
      </c>
      <c r="D76" s="1319"/>
      <c r="E76" s="1342">
        <f>+E74*E75</f>
        <v>64397538.146048069</v>
      </c>
      <c r="F76" s="1343"/>
      <c r="G76" s="1342">
        <f>+G74*G75</f>
        <v>70333154.772575617</v>
      </c>
      <c r="H76" s="1343"/>
      <c r="I76" s="1342">
        <f>+I74*I75</f>
        <v>29482.100074768066</v>
      </c>
      <c r="J76" s="1343"/>
      <c r="K76" s="1342">
        <f>+K74*K75</f>
        <v>312035.16585148871</v>
      </c>
      <c r="L76" s="1319"/>
      <c r="M76" s="1328"/>
    </row>
    <row r="77" spans="1:13" ht="18">
      <c r="A77" s="155">
        <f t="shared" si="3"/>
        <v>51</v>
      </c>
      <c r="B77" s="156"/>
      <c r="C77" s="1319" t="str">
        <f>+"General Plant Allocator (Ln "&amp;A76&amp;" / (Total - General Plant)"</f>
        <v>General Plant Allocator (Ln 50 / (Total - General Plant)</v>
      </c>
      <c r="D77" s="1319"/>
      <c r="E77" s="1348">
        <f>IF(E75=0,0,+E76/($E76+$G76+$I76))</f>
        <v>0.47786772417824985</v>
      </c>
      <c r="F77" s="1343"/>
      <c r="G77" s="1348">
        <f>IF(G75=0,0,+G76/($E76+$G76+$I76))</f>
        <v>0.52191350124631886</v>
      </c>
      <c r="H77" s="1343"/>
      <c r="I77" s="1348">
        <f>IF(I75=0,0,+I76/($E76+$G76+$I76))</f>
        <v>2.1877457543133437E-4</v>
      </c>
      <c r="J77" s="1343"/>
      <c r="K77" s="1348">
        <v>-1</v>
      </c>
      <c r="L77" s="1319"/>
      <c r="M77" s="1328"/>
    </row>
    <row r="78" spans="1:13" ht="18">
      <c r="A78" s="155">
        <f t="shared" si="3"/>
        <v>52</v>
      </c>
      <c r="B78" s="156"/>
      <c r="C78" s="1319" t="str">
        <f>"Functionalized General Plant (Ln "&amp;A78&amp;" * General Plant)"</f>
        <v>Functionalized General Plant (Ln 52 * General Plant)</v>
      </c>
      <c r="D78" s="1319"/>
      <c r="E78" s="1349">
        <f>ROUND($K76*E77,0)</f>
        <v>149112</v>
      </c>
      <c r="F78" s="1343"/>
      <c r="G78" s="1349">
        <f>ROUND($K76*G77,0)</f>
        <v>162855</v>
      </c>
      <c r="H78" s="1343"/>
      <c r="I78" s="1349">
        <f>ROUND($K76*I77,0)</f>
        <v>68</v>
      </c>
      <c r="J78" s="1343"/>
      <c r="K78" s="1349">
        <f>ROUND($K76*K77,0)</f>
        <v>-312035</v>
      </c>
      <c r="L78" s="1319"/>
      <c r="M78" s="1328"/>
    </row>
    <row r="79" spans="1:13" ht="18">
      <c r="A79" s="155">
        <f t="shared" si="3"/>
        <v>53</v>
      </c>
      <c r="B79" s="156"/>
      <c r="C79" s="1319" t="str">
        <f>"Weighted "&amp;C71&amp;" Plant (Ln "&amp;A76&amp;" + "&amp;A78&amp;")"</f>
        <v>Weighted TENNESSEE JURISDICTION Plant (Ln 50 + 52)</v>
      </c>
      <c r="D79" s="1319"/>
      <c r="E79" s="1342">
        <f>+E76+E78</f>
        <v>64546650.146048069</v>
      </c>
      <c r="F79" s="1343"/>
      <c r="G79" s="1350">
        <f>+G76+G78</f>
        <v>70496009.772575617</v>
      </c>
      <c r="H79" s="1343"/>
      <c r="I79" s="1342">
        <f>+I76+I78</f>
        <v>29550.100074768066</v>
      </c>
      <c r="J79" s="1343"/>
      <c r="K79" s="1342">
        <f>+K76+K78</f>
        <v>0.16585148870944977</v>
      </c>
      <c r="L79" s="1319"/>
      <c r="M79" s="1328">
        <f>SUM(E79:K79)-SUM(E78:K78)</f>
        <v>135072210.18454993</v>
      </c>
    </row>
    <row r="80" spans="1:13" ht="18">
      <c r="A80" s="155">
        <f>+A79+1</f>
        <v>54</v>
      </c>
      <c r="B80" s="156"/>
      <c r="C80" s="1319" t="str">
        <f>"Functional Percentage (Ln "&amp;A79&amp;"/Total Ln "&amp;A79&amp;")"</f>
        <v>Functional Percentage (Ln 53/Total Ln 53)</v>
      </c>
      <c r="D80" s="1319"/>
      <c r="E80" s="1345">
        <f>+E79/M79</f>
        <v>0.47786772762404356</v>
      </c>
      <c r="F80" s="1343"/>
      <c r="G80" s="1344">
        <f>+G79/M79</f>
        <v>0.52191349853723812</v>
      </c>
      <c r="H80" s="1343"/>
      <c r="I80" s="1345">
        <f>+I79/M79</f>
        <v>2.1877261084566246E-4</v>
      </c>
      <c r="J80" s="305"/>
      <c r="K80" s="305"/>
      <c r="L80" s="1319"/>
      <c r="M80" s="1328"/>
    </row>
    <row r="82" spans="1:13" ht="18" hidden="1">
      <c r="A82" s="155">
        <f>+A80+1</f>
        <v>55</v>
      </c>
      <c r="B82" s="156"/>
      <c r="C82" s="258" t="s">
        <v>1251</v>
      </c>
      <c r="D82" s="258"/>
      <c r="E82" s="1351">
        <f>+E48-E51-E62-E72</f>
        <v>0</v>
      </c>
      <c r="F82" s="1352"/>
      <c r="G82" s="1353">
        <f>M82*TCOS!J95</f>
        <v>723318.54978268454</v>
      </c>
      <c r="H82" s="1352"/>
      <c r="I82" s="1351">
        <f>+I48-I51-I62-I72</f>
        <v>0</v>
      </c>
      <c r="J82" s="1352"/>
      <c r="K82" s="1351">
        <f>+K48-K51-K62-K72</f>
        <v>0</v>
      </c>
      <c r="L82" s="258"/>
      <c r="M82" s="1354">
        <f>G23</f>
        <v>2425688</v>
      </c>
    </row>
  </sheetData>
  <mergeCells count="7">
    <mergeCell ref="A8:M8"/>
    <mergeCell ref="A7:M7"/>
    <mergeCell ref="C46:M46"/>
    <mergeCell ref="A3:M3"/>
    <mergeCell ref="A4:M4"/>
    <mergeCell ref="A5:M5"/>
    <mergeCell ref="A6:M6"/>
  </mergeCells>
  <phoneticPr fontId="71"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45"/>
  <sheetViews>
    <sheetView view="pageBreakPreview" topLeftCell="A26" zoomScale="70" zoomScaleNormal="70" zoomScaleSheetLayoutView="70" workbookViewId="0">
      <selection activeCell="H57" sqref="H57"/>
    </sheetView>
  </sheetViews>
  <sheetFormatPr defaultColWidth="9.140625" defaultRowHeight="12.75"/>
  <cols>
    <col min="1" max="1" width="7.42578125" style="124" customWidth="1"/>
    <col min="2" max="2" width="1.5703125" style="125" customWidth="1"/>
    <col min="3" max="3" width="68.5703125" style="125" customWidth="1"/>
    <col min="4" max="4" width="19.140625" style="125" customWidth="1"/>
    <col min="5" max="5" width="20.42578125" style="119" customWidth="1"/>
    <col min="6" max="6" width="20.42578125" style="110" bestFit="1" customWidth="1"/>
    <col min="7" max="7" width="40.42578125" style="110" bestFit="1" customWidth="1"/>
    <col min="8" max="8" width="13" style="110" bestFit="1" customWidth="1"/>
    <col min="9" max="9" width="34" style="110" customWidth="1"/>
    <col min="10" max="16384" width="9.140625" style="110"/>
  </cols>
  <sheetData>
    <row r="1" spans="1:20" ht="15.75">
      <c r="A1" s="893" t="s">
        <v>114</v>
      </c>
    </row>
    <row r="2" spans="1:20" ht="15.75">
      <c r="A2" s="893" t="s">
        <v>114</v>
      </c>
    </row>
    <row r="3" spans="1:20" ht="18.75" customHeight="1">
      <c r="A3" s="1488" t="s">
        <v>387</v>
      </c>
      <c r="B3" s="1488"/>
      <c r="C3" s="1488"/>
      <c r="D3" s="1488"/>
      <c r="E3" s="1488"/>
      <c r="F3" s="1488"/>
    </row>
    <row r="4" spans="1:20" ht="18.75" customHeight="1">
      <c r="A4" s="1489" t="str">
        <f>"Cost of Service Formula Rate Using Actual/Projected FF1 Balances"</f>
        <v>Cost of Service Formula Rate Using Actual/Projected FF1 Balances</v>
      </c>
      <c r="B4" s="1489"/>
      <c r="C4" s="1489"/>
      <c r="D4" s="1489"/>
      <c r="E4" s="1489"/>
      <c r="F4" s="1489"/>
    </row>
    <row r="5" spans="1:20" ht="18.75" customHeight="1">
      <c r="A5" s="1489" t="s">
        <v>217</v>
      </c>
      <c r="B5" s="1489"/>
      <c r="C5" s="1489"/>
      <c r="D5" s="1489"/>
      <c r="E5" s="1489"/>
      <c r="F5" s="1489"/>
    </row>
    <row r="6" spans="1:20" ht="18" customHeight="1">
      <c r="A6" s="1496" t="str">
        <f>TCOS!F9</f>
        <v>Appalachian Power Company</v>
      </c>
      <c r="B6" s="1489"/>
      <c r="C6" s="1489"/>
      <c r="D6" s="1489"/>
      <c r="E6" s="1489"/>
      <c r="F6" s="1489"/>
    </row>
    <row r="7" spans="1:20" ht="18" customHeight="1">
      <c r="A7" s="1500"/>
      <c r="B7" s="1500"/>
      <c r="C7" s="1500"/>
      <c r="D7" s="1500"/>
      <c r="E7" s="1500"/>
      <c r="F7" s="1500"/>
    </row>
    <row r="8" spans="1:20" ht="19.5" customHeight="1">
      <c r="A8" s="112"/>
      <c r="B8" s="113"/>
      <c r="C8" s="35" t="s">
        <v>162</v>
      </c>
      <c r="E8" s="35" t="s">
        <v>163</v>
      </c>
      <c r="F8" s="249" t="s">
        <v>164</v>
      </c>
      <c r="G8" s="249" t="s">
        <v>165</v>
      </c>
    </row>
    <row r="9" spans="1:20" ht="18">
      <c r="A9" s="201"/>
      <c r="B9" s="202"/>
      <c r="C9" s="202"/>
      <c r="D9" s="202"/>
      <c r="E9"/>
      <c r="F9" s="16"/>
      <c r="G9" s="250"/>
      <c r="H9" s="38"/>
      <c r="I9" s="38"/>
      <c r="J9" s="38"/>
      <c r="K9" s="38"/>
      <c r="L9" s="38"/>
      <c r="M9" s="38"/>
      <c r="N9" s="38"/>
      <c r="O9" s="38"/>
      <c r="P9" s="38"/>
      <c r="Q9" s="38"/>
      <c r="R9" s="38"/>
      <c r="S9" s="38"/>
      <c r="T9" s="38"/>
    </row>
    <row r="10" spans="1:20" ht="18">
      <c r="A10" s="201" t="s">
        <v>169</v>
      </c>
      <c r="B10" s="202"/>
      <c r="C10" s="202"/>
      <c r="D10" s="202"/>
      <c r="E10" s="203" t="s">
        <v>118</v>
      </c>
      <c r="F10" s="251" t="s">
        <v>76</v>
      </c>
      <c r="G10" s="252"/>
    </row>
    <row r="11" spans="1:20" ht="18">
      <c r="A11" s="205" t="s">
        <v>117</v>
      </c>
      <c r="B11" s="253"/>
      <c r="C11" s="205" t="s">
        <v>30</v>
      </c>
      <c r="D11" s="1090"/>
      <c r="E11" s="206" t="s">
        <v>183</v>
      </c>
      <c r="F11" s="205" t="s">
        <v>77</v>
      </c>
      <c r="G11" s="206" t="s">
        <v>78</v>
      </c>
      <c r="H11" s="1090"/>
      <c r="I11" s="1090"/>
    </row>
    <row r="12" spans="1:20" ht="18">
      <c r="A12" s="114"/>
      <c r="B12" s="113"/>
      <c r="C12" s="109"/>
      <c r="D12" s="109"/>
      <c r="E12" s="109"/>
      <c r="F12" s="251"/>
      <c r="G12" s="254"/>
      <c r="H12" s="255"/>
      <c r="I12" s="1091"/>
    </row>
    <row r="13" spans="1:20" ht="18">
      <c r="A13" s="112"/>
      <c r="B13" s="113"/>
      <c r="C13" s="113"/>
      <c r="D13" s="113"/>
      <c r="E13" s="115"/>
      <c r="F13" s="109"/>
    </row>
    <row r="14" spans="1:20" ht="19.5">
      <c r="A14" s="112">
        <v>1</v>
      </c>
      <c r="B14" s="113"/>
      <c r="C14" s="116" t="s">
        <v>323</v>
      </c>
      <c r="D14" s="113"/>
      <c r="E14" s="123"/>
      <c r="F14" s="111"/>
    </row>
    <row r="15" spans="1:20" ht="19.5">
      <c r="A15" s="112">
        <f>+A14+1</f>
        <v>2</v>
      </c>
      <c r="B15" s="113"/>
      <c r="C15" s="108" t="s">
        <v>307</v>
      </c>
      <c r="D15"/>
      <c r="E15" s="263">
        <f>SUM(F16:F19)</f>
        <v>58862</v>
      </c>
      <c r="F15" s="123"/>
      <c r="G15" s="255"/>
      <c r="H15" s="255"/>
    </row>
    <row r="16" spans="1:20" ht="19.5">
      <c r="A16" s="112"/>
      <c r="B16" s="113"/>
      <c r="C16" s="118"/>
      <c r="D16"/>
      <c r="E16" s="262"/>
      <c r="F16" s="866">
        <v>-9290</v>
      </c>
      <c r="G16" s="867" t="s">
        <v>1379</v>
      </c>
      <c r="H16" s="255"/>
    </row>
    <row r="17" spans="1:9" ht="19.5">
      <c r="A17" s="112"/>
      <c r="B17" s="113"/>
      <c r="C17" s="118"/>
      <c r="D17"/>
      <c r="E17" s="262"/>
      <c r="F17" s="866">
        <v>68152</v>
      </c>
      <c r="G17" s="867" t="s">
        <v>1009</v>
      </c>
      <c r="H17" s="255"/>
    </row>
    <row r="18" spans="1:9" ht="19.5">
      <c r="A18" s="112"/>
      <c r="B18" s="113"/>
      <c r="C18" s="118"/>
      <c r="D18"/>
      <c r="E18" s="262"/>
      <c r="F18" s="866"/>
      <c r="G18" s="867"/>
      <c r="H18" s="255"/>
    </row>
    <row r="19" spans="1:9" ht="18" customHeight="1">
      <c r="A19" s="112"/>
      <c r="B19" s="113"/>
      <c r="C19" s="118"/>
      <c r="D19"/>
      <c r="E19" s="262"/>
      <c r="F19" s="866"/>
      <c r="G19" s="867"/>
      <c r="H19" s="255"/>
    </row>
    <row r="20" spans="1:9" ht="18" customHeight="1">
      <c r="A20" s="112"/>
      <c r="B20" s="113"/>
      <c r="C20" s="118"/>
      <c r="D20"/>
      <c r="E20" s="262"/>
      <c r="F20" s="866"/>
      <c r="G20" s="867"/>
      <c r="H20" s="255"/>
    </row>
    <row r="21" spans="1:9" ht="18" customHeight="1">
      <c r="A21" s="112"/>
      <c r="B21" s="113"/>
      <c r="C21" s="118"/>
      <c r="D21"/>
      <c r="E21" s="262"/>
      <c r="F21" s="895"/>
      <c r="G21" s="896"/>
      <c r="H21" s="255"/>
    </row>
    <row r="22" spans="1:9" ht="18" customHeight="1">
      <c r="A22" s="112"/>
      <c r="B22" s="113"/>
      <c r="C22" s="35" t="s">
        <v>162</v>
      </c>
      <c r="D22" s="35" t="s">
        <v>163</v>
      </c>
      <c r="E22" s="249" t="s">
        <v>164</v>
      </c>
      <c r="F22" s="249" t="s">
        <v>165</v>
      </c>
      <c r="G22" s="249" t="s">
        <v>84</v>
      </c>
      <c r="H22" s="1127" t="s">
        <v>85</v>
      </c>
      <c r="I22" s="249" t="s">
        <v>86</v>
      </c>
    </row>
    <row r="23" spans="1:9" ht="58.5" customHeight="1">
      <c r="A23" s="205"/>
      <c r="B23" s="253"/>
      <c r="C23" s="1128" t="s">
        <v>755</v>
      </c>
      <c r="D23" s="1129" t="s">
        <v>673</v>
      </c>
      <c r="E23" s="1130" t="s">
        <v>753</v>
      </c>
      <c r="F23" s="1131" t="s">
        <v>754</v>
      </c>
      <c r="G23" s="1132" t="s">
        <v>78</v>
      </c>
      <c r="H23" s="1130" t="s">
        <v>822</v>
      </c>
      <c r="I23" s="1131" t="s">
        <v>752</v>
      </c>
    </row>
    <row r="24" spans="1:9" ht="19.5">
      <c r="A24" s="112"/>
      <c r="B24" s="113"/>
      <c r="C24" s="308"/>
      <c r="D24" s="5"/>
      <c r="E24" s="262"/>
      <c r="F24" s="263"/>
      <c r="G24" s="1083"/>
      <c r="H24" s="255"/>
      <c r="I24" s="255"/>
    </row>
    <row r="25" spans="1:9" ht="39">
      <c r="A25" s="1081">
        <f>+A15+1</f>
        <v>3</v>
      </c>
      <c r="B25" s="1082"/>
      <c r="C25" s="1126" t="s">
        <v>751</v>
      </c>
      <c r="D25" s="1133"/>
      <c r="E25" s="1298">
        <f>E27+E35+E46+E52</f>
        <v>79955952</v>
      </c>
      <c r="F25" s="1134"/>
      <c r="G25" s="1092"/>
      <c r="H25" s="1135"/>
      <c r="I25" s="1298">
        <f>I27+I35+I46+I52</f>
        <v>27681649.380378194</v>
      </c>
    </row>
    <row r="26" spans="1:9" ht="19.5">
      <c r="A26" s="112"/>
      <c r="B26" s="113"/>
      <c r="C26" s="116"/>
      <c r="D26"/>
      <c r="E26" s="262"/>
      <c r="F26" s="257"/>
      <c r="G26" s="1083"/>
      <c r="H26" s="1084"/>
      <c r="I26" s="1085"/>
    </row>
    <row r="27" spans="1:9" ht="19.5">
      <c r="A27" s="112">
        <f>+A25+1</f>
        <v>4</v>
      </c>
      <c r="B27" s="113"/>
      <c r="C27" s="1086" t="s">
        <v>599</v>
      </c>
      <c r="D27"/>
      <c r="E27" s="263">
        <f>SUM(F28:F34)</f>
        <v>50716722</v>
      </c>
      <c r="F27" s="257"/>
      <c r="G27" s="256"/>
      <c r="H27" s="258"/>
      <c r="I27" s="1080">
        <f>SUM(I28:I34)</f>
        <v>14078493.894039705</v>
      </c>
    </row>
    <row r="28" spans="1:9" ht="19.5">
      <c r="A28" s="112"/>
      <c r="B28" s="113"/>
      <c r="C28" s="1086"/>
      <c r="D28" s="1307">
        <v>2016</v>
      </c>
      <c r="E28" s="263"/>
      <c r="F28" s="866">
        <v>382</v>
      </c>
      <c r="G28" s="867" t="s">
        <v>1007</v>
      </c>
      <c r="H28" s="1078">
        <v>0.3644</v>
      </c>
      <c r="I28" s="1140">
        <f>+F28*H28</f>
        <v>139.20079999999999</v>
      </c>
    </row>
    <row r="29" spans="1:9" ht="19.5">
      <c r="A29" s="112"/>
      <c r="B29" s="113"/>
      <c r="C29" s="1086"/>
      <c r="D29" s="1307">
        <v>2017</v>
      </c>
      <c r="E29" s="263"/>
      <c r="F29" s="866">
        <v>363</v>
      </c>
      <c r="G29" s="867" t="s">
        <v>1354</v>
      </c>
      <c r="H29" s="1078">
        <v>0.27310000000000001</v>
      </c>
      <c r="I29" s="1140">
        <f>+F29*H29</f>
        <v>99.135300000000001</v>
      </c>
    </row>
    <row r="30" spans="1:9" ht="19.5">
      <c r="A30" s="112"/>
      <c r="B30" s="113"/>
      <c r="C30" s="1086"/>
      <c r="D30" s="1307">
        <v>2018</v>
      </c>
      <c r="E30" s="263"/>
      <c r="F30" s="866">
        <v>25091766</v>
      </c>
      <c r="G30" s="867" t="s">
        <v>1381</v>
      </c>
      <c r="H30" s="1078">
        <v>0.2712</v>
      </c>
      <c r="I30" s="1140">
        <f>+F30*H30</f>
        <v>6804886.9391999999</v>
      </c>
    </row>
    <row r="31" spans="1:9" ht="19.5">
      <c r="A31" s="112"/>
      <c r="B31" s="113"/>
      <c r="C31" s="1086"/>
      <c r="D31" s="1307">
        <v>2019</v>
      </c>
      <c r="E31" s="263"/>
      <c r="F31" s="866">
        <v>25424425</v>
      </c>
      <c r="G31" s="867" t="s">
        <v>1380</v>
      </c>
      <c r="H31" s="1078">
        <v>0.2838</v>
      </c>
      <c r="I31" s="1140">
        <f>+F31*H31</f>
        <v>7215451.8149999995</v>
      </c>
    </row>
    <row r="32" spans="1:9" ht="19.5">
      <c r="A32" s="112"/>
      <c r="B32" s="113"/>
      <c r="C32" s="1086"/>
      <c r="D32" s="1307">
        <v>2019</v>
      </c>
      <c r="E32" s="263"/>
      <c r="F32" s="866">
        <v>102151</v>
      </c>
      <c r="G32" s="867" t="s">
        <v>1355</v>
      </c>
      <c r="H32" s="1078">
        <v>0.2838</v>
      </c>
      <c r="I32" s="1140">
        <f>+F32*H32</f>
        <v>28990.453799999999</v>
      </c>
    </row>
    <row r="33" spans="1:9" ht="19.5">
      <c r="A33" s="112"/>
      <c r="B33" s="113"/>
      <c r="C33" s="1086"/>
      <c r="D33" s="1307">
        <v>2020</v>
      </c>
      <c r="E33" s="263"/>
      <c r="F33" s="866">
        <v>97635</v>
      </c>
      <c r="G33" s="867" t="s">
        <v>1382</v>
      </c>
      <c r="H33" s="1078">
        <f>'WS H Other Taxes'!G70</f>
        <v>0.29627029179808573</v>
      </c>
      <c r="I33" s="1140">
        <f t="shared" ref="I33:I44" si="0">F33*H33</f>
        <v>28926.349939706099</v>
      </c>
    </row>
    <row r="34" spans="1:9" ht="19.5">
      <c r="A34" s="112"/>
      <c r="B34" s="113"/>
      <c r="C34" s="1086"/>
      <c r="D34" s="866"/>
      <c r="E34" s="263"/>
      <c r="F34" s="866"/>
      <c r="G34" s="867"/>
      <c r="H34" s="1078"/>
      <c r="I34" s="1140">
        <f t="shared" si="0"/>
        <v>0</v>
      </c>
    </row>
    <row r="35" spans="1:9" ht="19.5">
      <c r="A35" s="112">
        <f>+A27+1</f>
        <v>5</v>
      </c>
      <c r="B35" s="113"/>
      <c r="C35" s="1086" t="s">
        <v>600</v>
      </c>
      <c r="D35"/>
      <c r="E35" s="263">
        <f>SUM(F36:F42)</f>
        <v>25463938</v>
      </c>
      <c r="F35" s="157"/>
      <c r="G35" s="256"/>
      <c r="H35" s="255"/>
      <c r="I35" s="1140">
        <f>SUM(I36:I44)</f>
        <v>12329480.754779669</v>
      </c>
    </row>
    <row r="36" spans="1:9" ht="19.5">
      <c r="A36" s="112"/>
      <c r="B36" s="113"/>
      <c r="C36" s="1086"/>
      <c r="D36" s="1307">
        <v>2018</v>
      </c>
      <c r="E36" s="263"/>
      <c r="F36" s="866">
        <v>2414</v>
      </c>
      <c r="G36" s="867" t="s">
        <v>1388</v>
      </c>
      <c r="H36" s="1079">
        <v>0.44159999999999999</v>
      </c>
      <c r="I36" s="1140">
        <f>F36*H36</f>
        <v>1066.0224000000001</v>
      </c>
    </row>
    <row r="37" spans="1:9" ht="19.5">
      <c r="A37" s="112"/>
      <c r="B37" s="113"/>
      <c r="C37" s="1086"/>
      <c r="D37" s="1307">
        <v>2019</v>
      </c>
      <c r="E37" s="263"/>
      <c r="F37" s="866">
        <v>-6702</v>
      </c>
      <c r="G37" s="867" t="s">
        <v>1389</v>
      </c>
      <c r="H37" s="1078">
        <v>0.4607</v>
      </c>
      <c r="I37" s="1140">
        <f t="shared" si="0"/>
        <v>-3087.6113999999998</v>
      </c>
    </row>
    <row r="38" spans="1:9" ht="19.5">
      <c r="A38" s="112"/>
      <c r="B38" s="113"/>
      <c r="C38" s="1086"/>
      <c r="D38" s="1307">
        <v>2020</v>
      </c>
      <c r="E38" s="263"/>
      <c r="F38" s="866">
        <v>24972398</v>
      </c>
      <c r="G38" s="867" t="s">
        <v>1390</v>
      </c>
      <c r="H38" s="1079">
        <f>'WS H Other Taxes'!G59</f>
        <v>0.48421031115266094</v>
      </c>
      <c r="I38" s="1140">
        <f t="shared" si="0"/>
        <v>12091892.605808089</v>
      </c>
    </row>
    <row r="39" spans="1:9" ht="19.5">
      <c r="A39" s="112"/>
      <c r="B39" s="113"/>
      <c r="C39" s="1086"/>
      <c r="D39" s="1307">
        <v>2018</v>
      </c>
      <c r="E39" s="263"/>
      <c r="F39" s="866">
        <v>-183</v>
      </c>
      <c r="G39" s="867" t="s">
        <v>1391</v>
      </c>
      <c r="H39" s="1078">
        <v>0.44159999999999999</v>
      </c>
      <c r="I39" s="1140">
        <f t="shared" si="0"/>
        <v>-80.812799999999996</v>
      </c>
    </row>
    <row r="40" spans="1:9" ht="19.5">
      <c r="A40" s="112"/>
      <c r="B40" s="113"/>
      <c r="C40" s="1086"/>
      <c r="D40" s="1307">
        <v>2019</v>
      </c>
      <c r="E40" s="263"/>
      <c r="F40" s="866">
        <v>20548</v>
      </c>
      <c r="G40" s="867" t="s">
        <v>1392</v>
      </c>
      <c r="H40" s="1078">
        <v>0.4607</v>
      </c>
      <c r="I40" s="1140">
        <f t="shared" si="0"/>
        <v>9466.4635999999991</v>
      </c>
    </row>
    <row r="41" spans="1:9" ht="19.5">
      <c r="A41" s="112"/>
      <c r="B41" s="113"/>
      <c r="C41" s="1086"/>
      <c r="D41" s="1307">
        <v>2020</v>
      </c>
      <c r="E41" s="263"/>
      <c r="F41" s="866">
        <v>469243</v>
      </c>
      <c r="G41" s="867" t="s">
        <v>1393</v>
      </c>
      <c r="H41" s="1079">
        <f>'WS H Other Taxes'!G59</f>
        <v>0.48421031115266094</v>
      </c>
      <c r="I41" s="1140">
        <f t="shared" si="0"/>
        <v>227212.29903620807</v>
      </c>
    </row>
    <row r="42" spans="1:9" ht="19.5">
      <c r="A42" s="112"/>
      <c r="B42" s="113"/>
      <c r="C42" s="1086"/>
      <c r="D42" s="1307">
        <v>2020</v>
      </c>
      <c r="E42" s="263"/>
      <c r="F42" s="866">
        <v>6220</v>
      </c>
      <c r="G42" s="867" t="s">
        <v>1394</v>
      </c>
      <c r="H42" s="1079">
        <f>'WS H Other Taxes'!G59</f>
        <v>0.48421031115266094</v>
      </c>
      <c r="I42" s="1140">
        <f t="shared" si="0"/>
        <v>3011.7881353695511</v>
      </c>
    </row>
    <row r="43" spans="1:9" ht="19.5">
      <c r="A43" s="112"/>
      <c r="B43" s="113"/>
      <c r="C43" s="1086"/>
      <c r="D43" s="1307"/>
      <c r="E43" s="263"/>
      <c r="F43" s="866"/>
      <c r="G43" s="867"/>
      <c r="H43" s="867"/>
      <c r="I43" s="1140">
        <f t="shared" si="0"/>
        <v>0</v>
      </c>
    </row>
    <row r="44" spans="1:9" ht="19.5">
      <c r="A44" s="112"/>
      <c r="B44" s="113"/>
      <c r="C44" s="1086"/>
      <c r="D44" s="866"/>
      <c r="E44" s="263"/>
      <c r="F44" s="866"/>
      <c r="G44" s="867"/>
      <c r="H44" s="867"/>
      <c r="I44" s="1140">
        <f t="shared" si="0"/>
        <v>0</v>
      </c>
    </row>
    <row r="45" spans="1:9" ht="19.5">
      <c r="A45" s="112"/>
      <c r="B45" s="113"/>
      <c r="C45" s="1086"/>
      <c r="D45" s="111"/>
      <c r="E45" s="263"/>
      <c r="F45" s="6"/>
      <c r="G45" s="301"/>
      <c r="H45" s="255"/>
      <c r="I45" s="255"/>
    </row>
    <row r="46" spans="1:9" ht="19.5">
      <c r="A46" s="112">
        <f>+A35+1</f>
        <v>6</v>
      </c>
      <c r="B46" s="113"/>
      <c r="C46" s="1086" t="s">
        <v>596</v>
      </c>
      <c r="D46" s="219"/>
      <c r="E46" s="263">
        <f>SUM(F47:F50)</f>
        <v>1349604</v>
      </c>
      <c r="F46" s="123" t="s">
        <v>114</v>
      </c>
      <c r="G46" s="301" t="s">
        <v>114</v>
      </c>
      <c r="H46" s="255"/>
      <c r="I46" s="1140">
        <f>SUM(I47:I51)</f>
        <v>705381.84256863303</v>
      </c>
    </row>
    <row r="47" spans="1:9" ht="19.5">
      <c r="A47" s="112"/>
      <c r="B47" s="113"/>
      <c r="C47" s="1086"/>
      <c r="D47" s="1307">
        <v>2019</v>
      </c>
      <c r="E47" s="263"/>
      <c r="F47" s="866">
        <v>-50738</v>
      </c>
      <c r="G47" s="867" t="s">
        <v>1010</v>
      </c>
      <c r="H47" s="1079">
        <v>0.50209999999999999</v>
      </c>
      <c r="I47" s="1140">
        <f>F47*H47</f>
        <v>-25475.549800000001</v>
      </c>
    </row>
    <row r="48" spans="1:9" ht="19.5">
      <c r="A48" s="112"/>
      <c r="B48" s="113"/>
      <c r="C48" s="1086"/>
      <c r="D48" s="1307">
        <v>2020</v>
      </c>
      <c r="E48" s="263"/>
      <c r="F48" s="866">
        <v>1400342</v>
      </c>
      <c r="G48" s="867" t="s">
        <v>1395</v>
      </c>
      <c r="H48" s="1079">
        <f>'WS H Other Taxes'!G80</f>
        <v>0.52191349853723812</v>
      </c>
      <c r="I48" s="1140">
        <f>F48*H48</f>
        <v>730857.39236863307</v>
      </c>
    </row>
    <row r="49" spans="1:9" ht="19.5">
      <c r="A49" s="112"/>
      <c r="B49" s="113"/>
      <c r="C49" s="1086"/>
      <c r="D49" s="866"/>
      <c r="E49" s="263"/>
      <c r="F49" s="866"/>
      <c r="G49" s="867"/>
      <c r="H49" s="867"/>
      <c r="I49" s="1140">
        <f>F49*H49</f>
        <v>0</v>
      </c>
    </row>
    <row r="50" spans="1:9" ht="19.5">
      <c r="A50" s="112"/>
      <c r="B50" s="113"/>
      <c r="C50" s="1086"/>
      <c r="D50" s="866"/>
      <c r="E50" s="263"/>
      <c r="F50" s="866"/>
      <c r="G50" s="867"/>
      <c r="H50" s="867"/>
      <c r="I50" s="1140">
        <f>F50*H50</f>
        <v>0</v>
      </c>
    </row>
    <row r="51" spans="1:9" ht="19.5">
      <c r="A51" s="112"/>
      <c r="B51" s="113"/>
      <c r="C51" s="1086"/>
      <c r="D51" s="866"/>
      <c r="E51" s="263"/>
      <c r="F51" s="866"/>
      <c r="G51" s="867"/>
      <c r="H51" s="867"/>
      <c r="I51" s="1140">
        <f>F51*H51</f>
        <v>0</v>
      </c>
    </row>
    <row r="52" spans="1:9" ht="19.5">
      <c r="A52" s="112"/>
      <c r="B52" s="113"/>
      <c r="C52" s="1086"/>
      <c r="D52" s="219"/>
      <c r="E52" s="263">
        <f>SUM(F53:F55)</f>
        <v>2425688</v>
      </c>
      <c r="F52" s="300"/>
      <c r="G52" s="301"/>
      <c r="H52" s="255"/>
      <c r="I52" s="1140">
        <f>SUM(I53:I55)</f>
        <v>568292.88899019081</v>
      </c>
    </row>
    <row r="53" spans="1:9" ht="19.5">
      <c r="A53" s="112">
        <f>A46+1</f>
        <v>7</v>
      </c>
      <c r="B53" s="113"/>
      <c r="C53" s="1086" t="s">
        <v>463</v>
      </c>
      <c r="D53" s="1307">
        <v>2019</v>
      </c>
      <c r="E53" s="263"/>
      <c r="F53" s="866">
        <v>9</v>
      </c>
      <c r="G53" s="867" t="s">
        <v>1383</v>
      </c>
      <c r="H53" s="1079">
        <v>0.23408277683337519</v>
      </c>
      <c r="I53" s="1140">
        <f>F53*H53</f>
        <v>2.1067449915003769</v>
      </c>
    </row>
    <row r="54" spans="1:9" ht="19.5">
      <c r="A54" s="112"/>
      <c r="B54" s="113"/>
      <c r="C54" s="111"/>
      <c r="D54" s="1307">
        <v>2018</v>
      </c>
      <c r="E54" s="263"/>
      <c r="F54" s="866">
        <v>-47396</v>
      </c>
      <c r="G54" s="867" t="s">
        <v>1384</v>
      </c>
      <c r="H54" s="1079">
        <v>0.22393199999999999</v>
      </c>
      <c r="I54" s="1140">
        <f>F54*H54</f>
        <v>-10613.481072</v>
      </c>
    </row>
    <row r="55" spans="1:9" ht="19.5">
      <c r="A55" s="112"/>
      <c r="B55" s="113"/>
      <c r="C55" s="111"/>
      <c r="D55" s="1307">
        <v>2019</v>
      </c>
      <c r="E55" s="263"/>
      <c r="F55" s="866">
        <v>2473075</v>
      </c>
      <c r="G55" s="867" t="s">
        <v>1385</v>
      </c>
      <c r="H55" s="1079">
        <v>0.23408277683337519</v>
      </c>
      <c r="I55" s="1140">
        <f>F55*H55</f>
        <v>578904.26331719931</v>
      </c>
    </row>
    <row r="56" spans="1:9" ht="19.5">
      <c r="A56" s="1093"/>
      <c r="B56" s="1094"/>
      <c r="C56" s="1095"/>
      <c r="D56" s="1096"/>
      <c r="E56" s="1097"/>
      <c r="F56" s="1096"/>
      <c r="G56" s="1098"/>
      <c r="H56" s="1098"/>
      <c r="I56" s="1099"/>
    </row>
    <row r="57" spans="1:9" ht="19.5">
      <c r="A57" s="112"/>
      <c r="B57" s="113"/>
      <c r="C57" s="111"/>
      <c r="D57" s="219"/>
      <c r="E57" s="263"/>
      <c r="F57" s="300"/>
      <c r="G57" s="301"/>
      <c r="H57" s="255"/>
    </row>
    <row r="58" spans="1:9" ht="18">
      <c r="A58" s="112"/>
      <c r="B58" s="113"/>
      <c r="C58" s="35" t="s">
        <v>162</v>
      </c>
      <c r="E58" s="35" t="s">
        <v>163</v>
      </c>
      <c r="F58" s="249" t="s">
        <v>164</v>
      </c>
      <c r="G58" s="249" t="s">
        <v>165</v>
      </c>
      <c r="H58" s="255"/>
    </row>
    <row r="59" spans="1:9" ht="18">
      <c r="A59" s="201"/>
      <c r="B59" s="202"/>
      <c r="C59" s="202"/>
      <c r="D59" s="202"/>
      <c r="E59"/>
      <c r="F59" s="16"/>
      <c r="G59" s="250"/>
      <c r="H59" s="255"/>
    </row>
    <row r="60" spans="1:9" ht="18">
      <c r="A60" s="201" t="s">
        <v>169</v>
      </c>
      <c r="B60" s="202"/>
      <c r="C60" s="202"/>
      <c r="D60" s="202"/>
      <c r="E60" s="203" t="s">
        <v>118</v>
      </c>
      <c r="F60" s="251" t="s">
        <v>76</v>
      </c>
      <c r="G60" s="252"/>
      <c r="H60" s="255"/>
    </row>
    <row r="61" spans="1:9" ht="18">
      <c r="A61" s="205" t="s">
        <v>117</v>
      </c>
      <c r="B61" s="253"/>
      <c r="C61" s="205" t="s">
        <v>30</v>
      </c>
      <c r="D61" s="1090"/>
      <c r="E61" s="206" t="s">
        <v>183</v>
      </c>
      <c r="F61" s="205" t="s">
        <v>77</v>
      </c>
      <c r="G61" s="206" t="s">
        <v>78</v>
      </c>
      <c r="H61" s="255"/>
    </row>
    <row r="62" spans="1:9" ht="19.5">
      <c r="A62" s="112">
        <f>+A53+1</f>
        <v>8</v>
      </c>
      <c r="B62" s="113"/>
      <c r="C62" s="116" t="s">
        <v>325</v>
      </c>
      <c r="D62" s="113"/>
      <c r="E62" s="262"/>
      <c r="F62" s="258" t="s">
        <v>114</v>
      </c>
      <c r="G62" s="256"/>
      <c r="H62" s="255"/>
    </row>
    <row r="63" spans="1:9" ht="19.5">
      <c r="A63" s="112">
        <f>+A62+1</f>
        <v>9</v>
      </c>
      <c r="B63" s="113"/>
      <c r="C63" s="111" t="s">
        <v>321</v>
      </c>
      <c r="D63" s="113"/>
      <c r="E63" s="263">
        <f>SUM(F64)</f>
        <v>7848861</v>
      </c>
      <c r="F63" s="259"/>
      <c r="G63" s="256"/>
      <c r="H63" s="255"/>
    </row>
    <row r="64" spans="1:9" ht="19.5">
      <c r="A64" s="112"/>
      <c r="B64" s="113"/>
      <c r="C64" s="111"/>
      <c r="D64" s="113"/>
      <c r="E64" s="263"/>
      <c r="F64" s="866">
        <v>7848861</v>
      </c>
      <c r="G64" s="867" t="s">
        <v>1396</v>
      </c>
      <c r="H64" s="255"/>
    </row>
    <row r="65" spans="1:9" ht="19.5">
      <c r="A65" s="112">
        <f>+A63+1</f>
        <v>10</v>
      </c>
      <c r="B65" s="113"/>
      <c r="C65" s="111" t="s">
        <v>314</v>
      </c>
      <c r="D65" s="113"/>
      <c r="E65" s="263">
        <f>SUM(F66)</f>
        <v>16828</v>
      </c>
      <c r="F65" s="123"/>
      <c r="G65" s="309"/>
      <c r="H65" s="255"/>
    </row>
    <row r="66" spans="1:9" ht="19.5">
      <c r="A66" s="112"/>
      <c r="B66" s="113"/>
      <c r="C66" s="111"/>
      <c r="D66" s="113"/>
      <c r="E66" s="263"/>
      <c r="F66" s="866">
        <v>16828</v>
      </c>
      <c r="G66" s="867" t="s">
        <v>1006</v>
      </c>
      <c r="H66" s="255"/>
    </row>
    <row r="67" spans="1:9" ht="19.5">
      <c r="A67" s="112">
        <f>+A65+1</f>
        <v>11</v>
      </c>
      <c r="B67" s="113"/>
      <c r="C67" s="111" t="s">
        <v>315</v>
      </c>
      <c r="D67" s="113"/>
      <c r="E67" s="263">
        <f>SUM(F68:F72)</f>
        <v>84038</v>
      </c>
      <c r="F67" s="123"/>
      <c r="G67" s="256"/>
      <c r="H67" s="255"/>
    </row>
    <row r="68" spans="1:9" ht="19.5">
      <c r="A68" s="112"/>
      <c r="B68" s="113"/>
      <c r="C68" s="111"/>
      <c r="D68" s="113"/>
      <c r="E68" s="263"/>
      <c r="F68" s="866">
        <v>11522</v>
      </c>
      <c r="G68" s="867" t="s">
        <v>1397</v>
      </c>
      <c r="H68" s="255"/>
    </row>
    <row r="69" spans="1:9" ht="19.5">
      <c r="A69" s="112"/>
      <c r="B69" s="113"/>
      <c r="C69" s="111"/>
      <c r="D69" s="113"/>
      <c r="E69" s="263"/>
      <c r="F69" s="866">
        <v>1</v>
      </c>
      <c r="G69" s="867" t="s">
        <v>1398</v>
      </c>
      <c r="H69" s="255"/>
    </row>
    <row r="70" spans="1:9" ht="19.5">
      <c r="A70" s="112"/>
      <c r="B70" s="113"/>
      <c r="C70" s="111"/>
      <c r="D70" s="113"/>
      <c r="E70" s="263"/>
      <c r="F70" s="866">
        <v>474</v>
      </c>
      <c r="G70" s="867" t="s">
        <v>1411</v>
      </c>
      <c r="H70" s="255"/>
    </row>
    <row r="71" spans="1:9" ht="19.5">
      <c r="A71" s="110"/>
      <c r="B71" s="110"/>
      <c r="C71" s="110"/>
      <c r="D71" s="113"/>
      <c r="E71" s="262"/>
      <c r="F71" s="866">
        <v>72041</v>
      </c>
      <c r="G71" s="867" t="s">
        <v>1008</v>
      </c>
      <c r="H71" s="255"/>
    </row>
    <row r="72" spans="1:9" ht="19.5">
      <c r="A72" s="110"/>
      <c r="B72" s="110"/>
      <c r="C72" s="110"/>
      <c r="D72" s="113"/>
      <c r="E72" s="262"/>
      <c r="F72" s="866"/>
      <c r="G72" s="867"/>
      <c r="H72" s="255"/>
    </row>
    <row r="73" spans="1:9" ht="19.5">
      <c r="A73" s="112">
        <f>A67+1</f>
        <v>12</v>
      </c>
      <c r="B73" s="113"/>
      <c r="C73" s="116" t="s">
        <v>440</v>
      </c>
      <c r="D73" s="113"/>
      <c r="E73" s="263">
        <f>SUM(F74:F74)</f>
        <v>0</v>
      </c>
      <c r="F73" s="300"/>
      <c r="G73" s="301"/>
      <c r="H73" s="255"/>
    </row>
    <row r="74" spans="1:9" ht="19.5">
      <c r="A74" s="112">
        <f>+A73+1</f>
        <v>13</v>
      </c>
      <c r="B74" s="113"/>
      <c r="C74" s="123" t="s">
        <v>441</v>
      </c>
      <c r="D74" s="219"/>
      <c r="E74" s="263"/>
      <c r="F74" s="866"/>
      <c r="G74" s="867"/>
      <c r="H74" s="255"/>
    </row>
    <row r="75" spans="1:9" ht="19.5">
      <c r="A75" s="112"/>
      <c r="B75" s="113"/>
      <c r="C75" s="108"/>
      <c r="D75" s="113"/>
      <c r="E75" s="267"/>
      <c r="F75" s="300"/>
      <c r="G75" s="108"/>
      <c r="H75" s="255"/>
    </row>
    <row r="76" spans="1:9" ht="19.5">
      <c r="A76" s="120">
        <f>+A74+1</f>
        <v>14</v>
      </c>
      <c r="B76" s="113"/>
      <c r="C76" s="116" t="s">
        <v>322</v>
      </c>
      <c r="D76" s="122"/>
      <c r="E76" s="262"/>
      <c r="F76" s="123"/>
      <c r="G76" s="108"/>
      <c r="H76" s="255"/>
    </row>
    <row r="77" spans="1:9" ht="19.5">
      <c r="A77" s="120">
        <f>A76+1</f>
        <v>15</v>
      </c>
      <c r="B77" s="121"/>
      <c r="C77" s="108" t="s">
        <v>439</v>
      </c>
      <c r="D77" s="122"/>
      <c r="E77" s="263">
        <f>SUM(F78:F80)</f>
        <v>47168790</v>
      </c>
      <c r="F77" s="123"/>
      <c r="G77" s="108"/>
      <c r="H77" s="255"/>
      <c r="I77" s="110">
        <v>0</v>
      </c>
    </row>
    <row r="78" spans="1:9" ht="19.5">
      <c r="A78" s="120"/>
      <c r="B78" s="121"/>
      <c r="C78" s="108"/>
      <c r="D78" s="110"/>
      <c r="E78" s="267"/>
      <c r="F78" s="866">
        <v>-239103</v>
      </c>
      <c r="G78" s="867" t="s">
        <v>1399</v>
      </c>
      <c r="H78" s="255"/>
    </row>
    <row r="79" spans="1:9" ht="19.5">
      <c r="A79" s="120"/>
      <c r="B79" s="121"/>
      <c r="C79" s="108"/>
      <c r="D79" s="110"/>
      <c r="E79" s="267"/>
      <c r="F79" s="866">
        <v>34290973</v>
      </c>
      <c r="G79" s="867" t="s">
        <v>1400</v>
      </c>
      <c r="H79" s="255"/>
    </row>
    <row r="80" spans="1:9" ht="19.5">
      <c r="A80" s="120"/>
      <c r="B80" s="121"/>
      <c r="C80" s="108"/>
      <c r="D80" s="110"/>
      <c r="E80" s="267"/>
      <c r="F80" s="866">
        <v>13116920</v>
      </c>
      <c r="G80" s="867" t="s">
        <v>1401</v>
      </c>
      <c r="H80" s="255"/>
    </row>
    <row r="81" spans="1:8" ht="19.5">
      <c r="A81" s="112">
        <f>A77+1</f>
        <v>16</v>
      </c>
      <c r="B81" s="121"/>
      <c r="C81" s="108" t="s">
        <v>316</v>
      </c>
      <c r="D81" s="113"/>
      <c r="E81" s="263">
        <f>SUM(F82:F83)</f>
        <v>4468513</v>
      </c>
      <c r="F81" s="123"/>
      <c r="G81" s="108"/>
      <c r="H81" s="255"/>
    </row>
    <row r="82" spans="1:8" ht="19.5">
      <c r="A82" s="112"/>
      <c r="B82" s="121"/>
      <c r="C82" s="108"/>
      <c r="D82" s="113"/>
      <c r="E82" s="157"/>
      <c r="F82" s="866">
        <v>1685883</v>
      </c>
      <c r="G82" s="867" t="s">
        <v>1402</v>
      </c>
      <c r="H82" s="255"/>
    </row>
    <row r="83" spans="1:8" ht="19.5">
      <c r="A83" s="112"/>
      <c r="B83" s="121"/>
      <c r="C83" s="108"/>
      <c r="D83" s="113"/>
      <c r="E83" s="157"/>
      <c r="F83" s="866">
        <v>2782630</v>
      </c>
      <c r="G83" s="867" t="s">
        <v>1403</v>
      </c>
      <c r="H83" s="255"/>
    </row>
    <row r="84" spans="1:8" ht="19.5">
      <c r="A84" s="112"/>
      <c r="B84" s="121"/>
      <c r="C84" s="108"/>
      <c r="D84" s="113"/>
      <c r="E84" s="157"/>
      <c r="F84" s="866"/>
      <c r="G84" s="867"/>
      <c r="H84" s="255"/>
    </row>
    <row r="85" spans="1:8" ht="19.5">
      <c r="A85" s="112">
        <f>+A81+1</f>
        <v>17</v>
      </c>
      <c r="B85" s="113"/>
      <c r="C85" s="108" t="s">
        <v>317</v>
      </c>
      <c r="D85"/>
      <c r="E85" s="263">
        <f>SUM(F86:F93)</f>
        <v>258957</v>
      </c>
      <c r="H85" s="255"/>
    </row>
    <row r="86" spans="1:8" ht="19.5">
      <c r="A86" s="112"/>
      <c r="B86" s="113"/>
      <c r="C86" s="108"/>
      <c r="D86"/>
      <c r="E86" s="157"/>
      <c r="F86" s="866">
        <v>-10155</v>
      </c>
      <c r="G86" s="867" t="s">
        <v>1404</v>
      </c>
      <c r="H86" s="255"/>
    </row>
    <row r="87" spans="1:8" ht="19.5">
      <c r="A87" s="112"/>
      <c r="B87" s="113"/>
      <c r="C87" s="108"/>
      <c r="D87"/>
      <c r="E87" s="157"/>
      <c r="F87" s="866">
        <v>262218</v>
      </c>
      <c r="G87" s="867" t="s">
        <v>1405</v>
      </c>
      <c r="H87" s="255"/>
    </row>
    <row r="88" spans="1:8" ht="19.5">
      <c r="A88" s="112"/>
      <c r="B88" s="113"/>
      <c r="C88" s="108"/>
      <c r="D88"/>
      <c r="E88" s="157"/>
      <c r="F88" s="866">
        <v>1710</v>
      </c>
      <c r="G88" s="867" t="s">
        <v>1353</v>
      </c>
      <c r="H88" s="255"/>
    </row>
    <row r="89" spans="1:8" ht="19.5">
      <c r="A89" s="112"/>
      <c r="B89" s="113"/>
      <c r="C89" s="108"/>
      <c r="D89"/>
      <c r="E89" s="157"/>
      <c r="F89" s="866">
        <v>1910</v>
      </c>
      <c r="G89" s="867" t="s">
        <v>1406</v>
      </c>
      <c r="H89" s="255"/>
    </row>
    <row r="90" spans="1:8" ht="19.5">
      <c r="A90" s="112"/>
      <c r="B90" s="113"/>
      <c r="C90" s="108"/>
      <c r="D90"/>
      <c r="E90" s="157"/>
      <c r="F90" s="866">
        <v>1637</v>
      </c>
      <c r="G90" s="867" t="s">
        <v>1407</v>
      </c>
      <c r="H90" s="255"/>
    </row>
    <row r="91" spans="1:8" ht="19.5">
      <c r="A91" s="112"/>
      <c r="B91" s="113"/>
      <c r="C91" s="108"/>
      <c r="D91"/>
      <c r="E91" s="157"/>
      <c r="F91" s="866">
        <v>1637</v>
      </c>
      <c r="G91" s="867" t="s">
        <v>1356</v>
      </c>
      <c r="H91" s="255"/>
    </row>
    <row r="92" spans="1:8" ht="19.5">
      <c r="A92" s="112"/>
      <c r="B92" s="113"/>
      <c r="C92" s="108"/>
      <c r="D92"/>
      <c r="E92" s="157"/>
      <c r="F92" s="866"/>
      <c r="G92" s="867"/>
      <c r="H92" s="255"/>
    </row>
    <row r="93" spans="1:8" ht="19.5">
      <c r="A93" s="112"/>
      <c r="B93" s="113"/>
      <c r="C93" s="108"/>
      <c r="D93"/>
      <c r="E93" s="157"/>
      <c r="F93" s="866"/>
      <c r="G93" s="867"/>
      <c r="H93" s="255"/>
    </row>
    <row r="94" spans="1:8" ht="19.5">
      <c r="A94" s="112"/>
      <c r="B94" s="113"/>
      <c r="C94" s="108"/>
      <c r="D94"/>
      <c r="E94" s="157"/>
      <c r="F94" s="123"/>
      <c r="G94" s="108"/>
      <c r="H94" s="255"/>
    </row>
    <row r="95" spans="1:8" ht="19.5">
      <c r="A95" s="112">
        <f>+A85+1</f>
        <v>18</v>
      </c>
      <c r="B95" s="113"/>
      <c r="C95" s="108" t="s">
        <v>318</v>
      </c>
      <c r="D95"/>
      <c r="E95" s="263">
        <f>SUM(F96:F101)</f>
        <v>0</v>
      </c>
      <c r="F95" s="123"/>
      <c r="G95" s="108"/>
      <c r="H95" s="255"/>
    </row>
    <row r="96" spans="1:8" ht="19.5">
      <c r="A96" s="112"/>
      <c r="B96" s="113"/>
      <c r="C96" s="108"/>
      <c r="D96"/>
      <c r="E96" s="157"/>
      <c r="F96" s="866"/>
      <c r="G96" s="867"/>
      <c r="H96" s="255"/>
    </row>
    <row r="97" spans="1:8" ht="19.5">
      <c r="A97" s="112"/>
      <c r="B97" s="113"/>
      <c r="C97" s="108"/>
      <c r="D97"/>
      <c r="E97" s="157"/>
      <c r="F97" s="866"/>
      <c r="G97" s="867"/>
      <c r="H97" s="255"/>
    </row>
    <row r="98" spans="1:8" ht="19.5">
      <c r="A98" s="112"/>
      <c r="B98" s="113"/>
      <c r="C98" s="108"/>
      <c r="D98"/>
      <c r="E98" s="157"/>
      <c r="F98" s="866"/>
      <c r="G98" s="867"/>
      <c r="H98" s="255"/>
    </row>
    <row r="99" spans="1:8" ht="19.5">
      <c r="A99" s="112"/>
      <c r="B99" s="113"/>
      <c r="C99" s="108"/>
      <c r="D99"/>
      <c r="E99" s="157"/>
      <c r="F99" s="866"/>
      <c r="G99" s="867"/>
      <c r="H99" s="255"/>
    </row>
    <row r="100" spans="1:8" ht="19.5">
      <c r="A100" s="112"/>
      <c r="B100" s="113"/>
      <c r="C100" s="108"/>
      <c r="D100"/>
      <c r="E100" s="157"/>
      <c r="F100" s="866"/>
      <c r="G100" s="867"/>
      <c r="H100" s="255"/>
    </row>
    <row r="101" spans="1:8" ht="19.5">
      <c r="A101" s="112"/>
      <c r="B101" s="113"/>
      <c r="C101" s="108"/>
      <c r="D101"/>
      <c r="E101" s="157"/>
      <c r="F101" s="866"/>
      <c r="G101" s="867"/>
      <c r="H101" s="255"/>
    </row>
    <row r="102" spans="1:8" ht="19.5">
      <c r="A102" s="112">
        <f>+A95+1</f>
        <v>19</v>
      </c>
      <c r="B102" s="113"/>
      <c r="C102" s="108" t="s">
        <v>319</v>
      </c>
      <c r="D102" s="113"/>
      <c r="E102" s="263">
        <f>SUM(F103:F106)</f>
        <v>9846733</v>
      </c>
      <c r="F102" s="123"/>
      <c r="G102" s="301"/>
      <c r="H102" s="255"/>
    </row>
    <row r="103" spans="1:8" ht="19.5">
      <c r="A103" s="112"/>
      <c r="B103" s="113"/>
      <c r="C103" s="108"/>
      <c r="D103" s="113"/>
      <c r="E103" s="263"/>
      <c r="F103" s="866">
        <v>474174</v>
      </c>
      <c r="G103" s="867" t="s">
        <v>1409</v>
      </c>
      <c r="H103" s="255"/>
    </row>
    <row r="104" spans="1:8" ht="19.5">
      <c r="A104" s="112"/>
      <c r="B104" s="113"/>
      <c r="C104" s="108"/>
      <c r="D104" s="113"/>
      <c r="E104" s="263"/>
      <c r="F104" s="866">
        <v>9372559</v>
      </c>
      <c r="G104" s="867" t="s">
        <v>1408</v>
      </c>
      <c r="H104" s="255"/>
    </row>
    <row r="105" spans="1:8" ht="19.5">
      <c r="A105" s="112"/>
      <c r="B105" s="113"/>
      <c r="C105" s="108"/>
      <c r="D105" s="113"/>
      <c r="E105" s="263"/>
      <c r="F105" s="866"/>
      <c r="G105" s="867"/>
      <c r="H105" s="255"/>
    </row>
    <row r="106" spans="1:8" ht="19.5">
      <c r="A106" s="112"/>
      <c r="B106" s="113"/>
      <c r="C106" s="108"/>
      <c r="D106" s="113"/>
      <c r="E106" s="267"/>
      <c r="F106" s="866"/>
      <c r="G106" s="867"/>
      <c r="H106" s="255"/>
    </row>
    <row r="107" spans="1:8" ht="19.5">
      <c r="A107" s="112">
        <f>+A102+1</f>
        <v>20</v>
      </c>
      <c r="B107" s="113"/>
      <c r="C107" s="108" t="s">
        <v>320</v>
      </c>
      <c r="D107" s="110"/>
      <c r="E107" s="263">
        <f>SUM(F108:F113)</f>
        <v>-4123</v>
      </c>
      <c r="G107" s="108"/>
      <c r="H107" s="255"/>
    </row>
    <row r="108" spans="1:8" ht="19.5">
      <c r="A108" s="112"/>
      <c r="B108" s="113"/>
      <c r="C108" s="108"/>
      <c r="D108" s="113"/>
      <c r="E108" s="157"/>
      <c r="F108" s="866">
        <v>-27</v>
      </c>
      <c r="G108" s="867" t="s">
        <v>1386</v>
      </c>
      <c r="H108" s="255"/>
    </row>
    <row r="109" spans="1:8" ht="19.5">
      <c r="A109" s="112"/>
      <c r="B109" s="113"/>
      <c r="C109" s="108"/>
      <c r="D109" s="113"/>
      <c r="E109" s="157"/>
      <c r="F109" s="866">
        <v>47</v>
      </c>
      <c r="G109" s="867" t="s">
        <v>1387</v>
      </c>
      <c r="H109" s="255"/>
    </row>
    <row r="110" spans="1:8" ht="19.5">
      <c r="A110" s="112"/>
      <c r="B110" s="113"/>
      <c r="C110" s="108"/>
      <c r="D110" s="113"/>
      <c r="E110" s="157"/>
      <c r="F110" s="866">
        <v>1766</v>
      </c>
      <c r="G110" s="867" t="s">
        <v>1410</v>
      </c>
      <c r="H110" s="255"/>
    </row>
    <row r="111" spans="1:8" ht="19.5">
      <c r="A111" s="112"/>
      <c r="B111" s="113"/>
      <c r="C111" s="108"/>
      <c r="D111" s="113"/>
      <c r="E111" s="157"/>
      <c r="F111" s="866">
        <v>92</v>
      </c>
      <c r="G111" s="867" t="s">
        <v>1413</v>
      </c>
      <c r="H111" s="255"/>
    </row>
    <row r="112" spans="1:8" ht="19.5">
      <c r="A112" s="112"/>
      <c r="B112" s="113"/>
      <c r="C112" s="108"/>
      <c r="D112" s="113"/>
      <c r="E112" s="157"/>
      <c r="F112" s="866">
        <v>-6001</v>
      </c>
      <c r="G112" s="867" t="s">
        <v>1412</v>
      </c>
      <c r="H112" s="255"/>
    </row>
    <row r="113" spans="1:9" ht="19.5">
      <c r="A113" s="112"/>
      <c r="B113" s="113"/>
      <c r="C113" s="108"/>
      <c r="D113" s="113"/>
      <c r="E113" s="157"/>
      <c r="F113" s="123"/>
      <c r="G113" s="108"/>
      <c r="H113" s="255"/>
    </row>
    <row r="114" spans="1:9" ht="19.5">
      <c r="A114" s="112">
        <f>+A107+1</f>
        <v>21</v>
      </c>
      <c r="B114" s="113"/>
      <c r="C114" s="108" t="s">
        <v>308</v>
      </c>
      <c r="D114" s="108"/>
      <c r="E114" s="263">
        <f>SUM(F115:F116)</f>
        <v>13194</v>
      </c>
      <c r="F114" s="123"/>
      <c r="G114" s="108"/>
      <c r="H114" s="255"/>
    </row>
    <row r="115" spans="1:9" ht="19.5">
      <c r="A115" s="112"/>
      <c r="B115" s="113"/>
      <c r="C115" s="108"/>
      <c r="D115" s="108"/>
      <c r="E115" s="157"/>
      <c r="F115" s="866">
        <v>13194</v>
      </c>
      <c r="G115" s="867" t="s">
        <v>1426</v>
      </c>
      <c r="H115" s="255"/>
    </row>
    <row r="116" spans="1:9" ht="19.5">
      <c r="A116" s="112"/>
      <c r="B116" s="113"/>
      <c r="C116" s="108"/>
      <c r="D116" s="108"/>
      <c r="E116" s="157"/>
      <c r="F116" s="866"/>
      <c r="G116" s="867"/>
      <c r="H116" s="255"/>
    </row>
    <row r="117" spans="1:9" ht="19.5">
      <c r="A117" s="112">
        <f>+A114+1</f>
        <v>22</v>
      </c>
      <c r="B117" s="108"/>
      <c r="C117" s="130" t="s">
        <v>1360</v>
      </c>
      <c r="D117" s="123"/>
      <c r="E117" s="263">
        <f>SUM(F118:F118)</f>
        <v>0</v>
      </c>
      <c r="F117" s="260"/>
      <c r="G117" s="108"/>
      <c r="H117" s="255"/>
    </row>
    <row r="118" spans="1:9" ht="19.5">
      <c r="A118" s="112"/>
      <c r="B118" s="108"/>
      <c r="C118" s="130"/>
      <c r="D118" s="123"/>
      <c r="E118" s="157"/>
      <c r="F118" s="866"/>
      <c r="G118" s="867"/>
    </row>
    <row r="119" spans="1:9" ht="19.5">
      <c r="A119" s="6"/>
      <c r="B119" s="108"/>
      <c r="C119" s="240"/>
      <c r="D119"/>
      <c r="E119"/>
      <c r="F119" s="239"/>
      <c r="G119" s="261"/>
    </row>
    <row r="120" spans="1:9" ht="20.25" thickBot="1">
      <c r="A120" s="233">
        <f>+A117+1</f>
        <v>23</v>
      </c>
      <c r="B120" s="240"/>
      <c r="C120" s="108" t="s">
        <v>311</v>
      </c>
      <c r="D120"/>
      <c r="E120" s="129">
        <f>E15+E25+E63+E65+E67+E77+E85+E95+E102+E107+E81+E114+E117</f>
        <v>149716605</v>
      </c>
      <c r="F120" s="129">
        <f>SUM(F15:F118)</f>
        <v>149716605</v>
      </c>
      <c r="G120" s="108"/>
    </row>
    <row r="121" spans="1:9" ht="20.25" thickTop="1">
      <c r="A121" s="6"/>
      <c r="B121" s="240"/>
      <c r="C121" s="108" t="s">
        <v>381</v>
      </c>
      <c r="D121"/>
      <c r="E121"/>
      <c r="F121" s="260"/>
      <c r="G121" s="108"/>
      <c r="I121" s="1457"/>
    </row>
    <row r="122" spans="1:9" ht="21">
      <c r="A122" s="6"/>
      <c r="B122" s="240"/>
      <c r="C122" s="108"/>
      <c r="D122"/>
      <c r="E122" s="277"/>
      <c r="F122" s="158" t="s">
        <v>114</v>
      </c>
      <c r="G122" s="108"/>
    </row>
    <row r="123" spans="1:9" ht="20.25" customHeight="1">
      <c r="A123" s="1531" t="s">
        <v>764</v>
      </c>
      <c r="B123" s="1531"/>
      <c r="C123" s="1531"/>
      <c r="D123" s="1531"/>
      <c r="E123" s="1531"/>
      <c r="F123" s="1531"/>
      <c r="G123" s="1531"/>
    </row>
    <row r="124" spans="1:9" ht="20.25" customHeight="1">
      <c r="A124" s="1531"/>
      <c r="B124" s="1531"/>
      <c r="C124" s="1531"/>
      <c r="D124" s="1531"/>
      <c r="E124" s="1531"/>
      <c r="F124" s="1531"/>
      <c r="G124" s="1531"/>
    </row>
    <row r="125" spans="1:9" ht="20.25" customHeight="1">
      <c r="A125" s="1531"/>
      <c r="B125" s="1531"/>
      <c r="C125" s="1531"/>
      <c r="D125" s="1531"/>
      <c r="E125" s="1531"/>
      <c r="F125" s="1531"/>
      <c r="G125" s="1531"/>
    </row>
    <row r="126" spans="1:9" ht="20.25" customHeight="1">
      <c r="A126" s="1531"/>
      <c r="B126" s="1531"/>
      <c r="C126" s="1531"/>
      <c r="D126" s="1531"/>
      <c r="E126" s="1531"/>
      <c r="F126" s="1531"/>
      <c r="G126" s="1531"/>
    </row>
    <row r="127" spans="1:9" ht="20.25" customHeight="1">
      <c r="A127" s="1531"/>
      <c r="B127" s="1531"/>
      <c r="C127" s="1531"/>
      <c r="D127" s="1531"/>
      <c r="E127" s="1531"/>
      <c r="F127" s="1531"/>
      <c r="G127" s="1531"/>
    </row>
    <row r="128" spans="1:9" ht="20.25" customHeight="1">
      <c r="A128" s="1136"/>
      <c r="B128" s="1136"/>
      <c r="C128" s="1136"/>
      <c r="D128" s="1136"/>
      <c r="E128" s="1136"/>
      <c r="F128" s="1136"/>
      <c r="G128" s="1136"/>
    </row>
    <row r="129" spans="1:7" ht="30.75" customHeight="1">
      <c r="A129" s="1530" t="s">
        <v>866</v>
      </c>
      <c r="B129" s="1530"/>
      <c r="C129" s="1530"/>
      <c r="D129" s="1530"/>
      <c r="E129" s="1530"/>
      <c r="F129" s="1530"/>
      <c r="G129" s="1530"/>
    </row>
    <row r="130" spans="1:7" ht="30.75" customHeight="1">
      <c r="A130" s="1530"/>
      <c r="B130" s="1530"/>
      <c r="C130" s="1530"/>
      <c r="D130" s="1530"/>
      <c r="E130" s="1530"/>
      <c r="F130" s="1530"/>
      <c r="G130" s="1530"/>
    </row>
    <row r="131" spans="1:7" ht="19.5">
      <c r="B131" s="156"/>
      <c r="F131" s="123"/>
      <c r="G131" s="108"/>
    </row>
    <row r="132" spans="1:7" ht="19.5">
      <c r="B132" s="156"/>
      <c r="F132" s="260"/>
      <c r="G132" s="108"/>
    </row>
    <row r="133" spans="1:7" ht="19.5">
      <c r="B133" s="156"/>
      <c r="F133" s="260"/>
      <c r="G133" s="108"/>
    </row>
    <row r="134" spans="1:7" ht="19.5">
      <c r="B134" s="156"/>
      <c r="F134" s="260"/>
      <c r="G134" s="108"/>
    </row>
    <row r="135" spans="1:7" ht="19.5">
      <c r="B135" s="156"/>
      <c r="F135" s="123"/>
      <c r="G135" s="255"/>
    </row>
    <row r="136" spans="1:7" ht="19.5">
      <c r="B136" s="156"/>
      <c r="F136" s="123"/>
      <c r="G136" s="255"/>
    </row>
    <row r="137" spans="1:7" ht="19.5">
      <c r="B137" s="156"/>
      <c r="F137" s="123"/>
      <c r="G137" s="255"/>
    </row>
    <row r="138" spans="1:7" ht="19.5">
      <c r="B138" s="156"/>
      <c r="F138" s="262"/>
      <c r="G138" s="255"/>
    </row>
    <row r="139" spans="1:7" ht="19.5">
      <c r="B139" s="156"/>
      <c r="F139" s="131"/>
    </row>
    <row r="140" spans="1:7">
      <c r="B140" s="156"/>
      <c r="F140" s="252"/>
    </row>
    <row r="141" spans="1:7">
      <c r="B141" s="156"/>
      <c r="F141" s="252"/>
    </row>
    <row r="142" spans="1:7">
      <c r="B142" s="156"/>
    </row>
    <row r="143" spans="1:7">
      <c r="B143" s="156"/>
    </row>
    <row r="144" spans="1:7">
      <c r="B144" s="156"/>
    </row>
    <row r="145" spans="2:2">
      <c r="B145" s="156"/>
    </row>
  </sheetData>
  <mergeCells count="7">
    <mergeCell ref="A129:G130"/>
    <mergeCell ref="A123:G127"/>
    <mergeCell ref="A7:F7"/>
    <mergeCell ref="A3:F3"/>
    <mergeCell ref="A4:F4"/>
    <mergeCell ref="A5:F5"/>
    <mergeCell ref="A6:F6"/>
  </mergeCells>
  <phoneticPr fontId="71"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78"/>
  <sheetViews>
    <sheetView view="pageBreakPreview" zoomScale="60" zoomScaleNormal="100" workbookViewId="0">
      <selection activeCell="W68" sqref="W68"/>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893" t="s">
        <v>114</v>
      </c>
    </row>
    <row r="2" spans="1:29" ht="15.75">
      <c r="A2" s="893" t="s">
        <v>114</v>
      </c>
    </row>
    <row r="3" spans="1:29" ht="18">
      <c r="A3" s="1533" t="s">
        <v>387</v>
      </c>
      <c r="B3" s="1533"/>
      <c r="C3" s="1533"/>
      <c r="D3" s="1533"/>
      <c r="E3" s="1533"/>
      <c r="F3" s="1533"/>
      <c r="G3" s="1533"/>
      <c r="H3" s="1533"/>
      <c r="I3" s="1533"/>
      <c r="J3" s="1533"/>
      <c r="K3" s="150"/>
      <c r="L3" s="150"/>
      <c r="M3" s="150"/>
    </row>
    <row r="4" spans="1:29" ht="18">
      <c r="A4" s="1532" t="str">
        <f>"Cost of Service Formula Rate Using "&amp;TCOS!L4&amp;" FF1 Balances"</f>
        <v>Cost of Service Formula Rate Using 2020 FF1 Balances</v>
      </c>
      <c r="B4" s="1532"/>
      <c r="C4" s="1532"/>
      <c r="D4" s="1532"/>
      <c r="E4" s="1532"/>
      <c r="F4" s="1532"/>
      <c r="G4" s="1532"/>
      <c r="H4" s="1532"/>
      <c r="I4" s="1532"/>
      <c r="J4" s="1532"/>
      <c r="K4" s="94"/>
      <c r="L4" s="94"/>
      <c r="M4" s="94"/>
    </row>
    <row r="5" spans="1:29" ht="18">
      <c r="A5" s="1532" t="s">
        <v>546</v>
      </c>
      <c r="B5" s="1532"/>
      <c r="C5" s="1532"/>
      <c r="D5" s="1532"/>
      <c r="E5" s="1532"/>
      <c r="F5" s="1532"/>
      <c r="G5" s="1532"/>
      <c r="H5" s="1532"/>
      <c r="I5" s="1532"/>
      <c r="J5" s="1532"/>
      <c r="K5" s="151"/>
      <c r="L5" s="151"/>
      <c r="M5" s="151"/>
    </row>
    <row r="6" spans="1:29" ht="18">
      <c r="A6" s="1527" t="str">
        <f>+TCOS!F9</f>
        <v>Appalachian Power Company</v>
      </c>
      <c r="B6" s="1527"/>
      <c r="C6" s="1527"/>
      <c r="D6" s="1527"/>
      <c r="E6" s="1527"/>
      <c r="F6" s="1527"/>
      <c r="G6" s="1527"/>
      <c r="H6" s="1527"/>
      <c r="I6" s="1527"/>
      <c r="J6" s="1527"/>
      <c r="K6" s="159"/>
      <c r="L6" s="159"/>
      <c r="M6" s="159"/>
    </row>
    <row r="8" spans="1:29" ht="18">
      <c r="A8" s="165"/>
      <c r="B8" s="100"/>
      <c r="D8" s="102"/>
      <c r="E8" s="6"/>
      <c r="F8" s="104"/>
    </row>
    <row r="9" spans="1:29" ht="18">
      <c r="C9" s="7"/>
      <c r="D9" s="102"/>
      <c r="E9" s="6"/>
      <c r="F9" s="104"/>
      <c r="Q9" s="150"/>
      <c r="R9" s="150"/>
      <c r="S9" s="150"/>
      <c r="T9" s="150"/>
      <c r="U9" s="150"/>
      <c r="V9" s="150"/>
      <c r="W9" s="150"/>
      <c r="X9" s="150"/>
      <c r="Y9" s="150"/>
      <c r="Z9" s="150"/>
      <c r="AA9" s="150"/>
      <c r="AB9" s="150"/>
      <c r="AC9" s="150"/>
    </row>
    <row r="10" spans="1:29">
      <c r="C10" s="7"/>
      <c r="D10" s="102"/>
    </row>
    <row r="11" spans="1:29">
      <c r="C11" s="7"/>
      <c r="D11" s="102"/>
    </row>
    <row r="12" spans="1:29">
      <c r="C12" s="7"/>
      <c r="D12" s="102"/>
      <c r="H12" s="103"/>
    </row>
    <row r="13" spans="1:29">
      <c r="C13" s="7"/>
      <c r="D13" s="102"/>
      <c r="H13" s="103"/>
    </row>
    <row r="14" spans="1:29">
      <c r="C14" s="7"/>
      <c r="D14" s="102"/>
      <c r="E14" s="6"/>
      <c r="H14" s="103"/>
    </row>
    <row r="15" spans="1:29">
      <c r="C15" s="7"/>
      <c r="D15" s="102"/>
      <c r="E15" s="6"/>
      <c r="H15" s="104"/>
    </row>
    <row r="16" spans="1:29">
      <c r="C16" s="7"/>
      <c r="D16" s="102"/>
      <c r="E16" s="6"/>
      <c r="H16" s="160"/>
    </row>
    <row r="18" spans="1:12" ht="18">
      <c r="A18" s="165"/>
      <c r="B18" s="19"/>
    </row>
    <row r="20" spans="1:12">
      <c r="A20" s="18"/>
      <c r="B20" s="18"/>
      <c r="C20" s="161"/>
      <c r="E20" s="161"/>
      <c r="F20" s="161"/>
      <c r="G20" s="161"/>
      <c r="H20" s="161"/>
      <c r="I20" s="161"/>
      <c r="J20" s="162"/>
    </row>
    <row r="22" spans="1:12">
      <c r="E22" s="163"/>
      <c r="F22" s="164"/>
      <c r="G22" s="164"/>
      <c r="I22" s="164"/>
      <c r="L22" s="302"/>
    </row>
    <row r="23" spans="1:12">
      <c r="E23" s="106"/>
      <c r="F23" s="164"/>
      <c r="G23" s="164"/>
      <c r="I23" s="164"/>
      <c r="L23" s="302"/>
    </row>
    <row r="24" spans="1:12">
      <c r="E24" s="106"/>
      <c r="F24" s="164"/>
      <c r="G24" s="164"/>
      <c r="I24" s="164"/>
      <c r="L24" s="302"/>
    </row>
    <row r="25" spans="1:12">
      <c r="E25" s="106"/>
      <c r="F25" s="164"/>
      <c r="G25" s="164"/>
      <c r="I25" s="164"/>
      <c r="L25" s="302"/>
    </row>
    <row r="26" spans="1:12">
      <c r="E26" s="106"/>
      <c r="F26" s="164"/>
      <c r="G26" s="164"/>
      <c r="I26" s="164"/>
      <c r="L26" s="302"/>
    </row>
    <row r="27" spans="1:12">
      <c r="E27" s="106"/>
      <c r="F27" s="164"/>
      <c r="G27" s="164"/>
      <c r="I27" s="164"/>
      <c r="L27" s="302"/>
    </row>
    <row r="28" spans="1:12">
      <c r="E28" s="106"/>
      <c r="F28" s="164"/>
      <c r="G28" s="164"/>
      <c r="I28" s="164"/>
      <c r="L28" s="302"/>
    </row>
    <row r="29" spans="1:12">
      <c r="E29" s="106"/>
      <c r="F29" s="164"/>
      <c r="G29" s="164"/>
      <c r="I29" s="164"/>
      <c r="L29" s="302"/>
    </row>
    <row r="30" spans="1:12">
      <c r="E30" s="106"/>
      <c r="F30" s="164"/>
      <c r="G30" s="164"/>
      <c r="I30" s="164"/>
      <c r="L30" s="302"/>
    </row>
    <row r="31" spans="1:12">
      <c r="E31" s="106"/>
      <c r="F31" s="164"/>
      <c r="G31" s="164"/>
      <c r="I31" s="164"/>
      <c r="L31" s="302"/>
    </row>
    <row r="32" spans="1:12">
      <c r="E32" s="106"/>
      <c r="F32" s="164"/>
      <c r="G32" s="164"/>
      <c r="I32" s="164"/>
      <c r="L32" s="302"/>
    </row>
    <row r="33" spans="1:12">
      <c r="E33" s="106"/>
      <c r="F33" s="164"/>
      <c r="G33" s="164"/>
      <c r="I33" s="164"/>
      <c r="L33" s="302"/>
    </row>
    <row r="35" spans="1:12">
      <c r="H35" s="96"/>
      <c r="I35" s="306"/>
    </row>
    <row r="37" spans="1:12" ht="18">
      <c r="A37" s="165"/>
      <c r="B37" s="19"/>
    </row>
    <row r="44" spans="1:12" ht="18">
      <c r="A44" s="165"/>
      <c r="B44" s="174"/>
      <c r="C44" s="166"/>
      <c r="E44" s="166"/>
      <c r="F44" s="166"/>
      <c r="G44" s="166"/>
      <c r="H44" s="166"/>
      <c r="I44" s="102"/>
    </row>
    <row r="45" spans="1:12">
      <c r="B45" s="167"/>
      <c r="C45" s="166"/>
      <c r="E45" s="166"/>
      <c r="F45" s="166"/>
      <c r="G45" s="166"/>
      <c r="H45" s="166"/>
      <c r="I45" s="102"/>
    </row>
    <row r="46" spans="1:12">
      <c r="B46" s="173"/>
      <c r="C46" s="166"/>
      <c r="E46" s="166"/>
      <c r="F46" s="166"/>
      <c r="G46" s="175"/>
      <c r="H46" s="175"/>
    </row>
    <row r="47" spans="1:12">
      <c r="B47" s="173"/>
      <c r="C47" s="168"/>
      <c r="E47" s="168"/>
      <c r="F47" s="168"/>
      <c r="G47" s="168"/>
    </row>
    <row r="48" spans="1:12">
      <c r="B48" s="170"/>
      <c r="F48" s="96"/>
      <c r="G48" s="209"/>
      <c r="H48" s="178"/>
      <c r="I48" s="171"/>
      <c r="J48" s="176"/>
    </row>
    <row r="49" spans="2:10">
      <c r="B49" s="170"/>
      <c r="F49" s="96"/>
      <c r="G49" s="169"/>
      <c r="H49" s="178"/>
      <c r="I49" s="171"/>
      <c r="J49" s="176"/>
    </row>
    <row r="50" spans="2:10">
      <c r="B50" s="173"/>
      <c r="G50" s="169"/>
      <c r="H50" s="178"/>
      <c r="I50" s="171"/>
      <c r="J50" s="176"/>
    </row>
    <row r="51" spans="2:10">
      <c r="B51" s="242"/>
      <c r="C51" s="243"/>
      <c r="D51" s="166"/>
      <c r="E51" s="166"/>
      <c r="F51" s="166"/>
      <c r="G51" s="307"/>
      <c r="H51" s="176"/>
      <c r="J51" s="176"/>
    </row>
    <row r="52" spans="2:10">
      <c r="F52" s="96"/>
      <c r="G52" s="209"/>
      <c r="J52" s="177"/>
    </row>
    <row r="55" spans="2:10">
      <c r="D55" s="177"/>
    </row>
    <row r="56" spans="2:10">
      <c r="D56" s="177"/>
      <c r="H56" s="102"/>
    </row>
    <row r="57" spans="2:10">
      <c r="D57" s="177"/>
      <c r="H57" s="166"/>
    </row>
    <row r="58" spans="2:10">
      <c r="D58" s="177"/>
    </row>
    <row r="59" spans="2:10">
      <c r="D59" s="177"/>
      <c r="H59" s="102"/>
    </row>
    <row r="60" spans="2:10">
      <c r="D60" s="177"/>
    </row>
    <row r="61" spans="2:10">
      <c r="D61" s="177"/>
    </row>
    <row r="62" spans="2:10">
      <c r="D62" s="177"/>
    </row>
    <row r="63" spans="2:10">
      <c r="D63" s="177"/>
      <c r="H63" s="167"/>
    </row>
    <row r="64" spans="2:10">
      <c r="D64" s="177"/>
      <c r="H64" s="210"/>
    </row>
    <row r="65" spans="2:8">
      <c r="D65" s="177"/>
      <c r="H65" s="210"/>
    </row>
    <row r="66" spans="2:8">
      <c r="D66" s="177"/>
    </row>
    <row r="74" spans="2:8">
      <c r="B74" s="170"/>
      <c r="G74" s="171"/>
    </row>
    <row r="75" spans="2:8">
      <c r="G75" s="171"/>
    </row>
    <row r="76" spans="2:8">
      <c r="B76" s="211"/>
      <c r="G76" s="212"/>
    </row>
    <row r="77" spans="2:8">
      <c r="G77" s="171"/>
    </row>
    <row r="78" spans="2:8">
      <c r="G78" s="172"/>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240"/>
  <sheetViews>
    <sheetView view="pageBreakPreview" topLeftCell="D27" zoomScale="85" zoomScaleNormal="100" zoomScaleSheetLayoutView="85" workbookViewId="0">
      <selection activeCell="D24" sqref="D24"/>
    </sheetView>
  </sheetViews>
  <sheetFormatPr defaultColWidth="8.85546875" defaultRowHeight="12.75"/>
  <cols>
    <col min="1" max="1" width="4.5703125" style="332" customWidth="1"/>
    <col min="2" max="2" width="6.5703125" style="413" customWidth="1"/>
    <col min="3" max="3" width="42" style="332" customWidth="1"/>
    <col min="4" max="4" width="17.5703125" style="424" customWidth="1"/>
    <col min="5" max="7" width="17.5703125" style="332" customWidth="1"/>
    <col min="8" max="8" width="17.5703125" style="590" customWidth="1"/>
    <col min="9" max="9" width="17.5703125" style="332" bestFit="1" customWidth="1"/>
    <col min="10" max="10" width="2.140625" style="316" customWidth="1"/>
    <col min="11" max="11" width="20.5703125" style="332" customWidth="1"/>
    <col min="12" max="14" width="17.5703125" style="332" customWidth="1"/>
    <col min="15" max="15" width="16.5703125" style="332" customWidth="1"/>
    <col min="16" max="16" width="2.140625" style="541" customWidth="1"/>
    <col min="17" max="16384" width="8.85546875" style="332"/>
  </cols>
  <sheetData>
    <row r="1" spans="1:16" ht="15.75">
      <c r="A1" s="893" t="s">
        <v>114</v>
      </c>
    </row>
    <row r="2" spans="1:16" ht="15.75">
      <c r="A2" s="893" t="s">
        <v>114</v>
      </c>
    </row>
    <row r="3" spans="1:16" ht="15">
      <c r="A3" s="1520" t="s">
        <v>387</v>
      </c>
      <c r="B3" s="1520"/>
      <c r="C3" s="1520"/>
      <c r="D3" s="1520"/>
      <c r="E3" s="1520"/>
      <c r="F3" s="1520"/>
      <c r="G3" s="1520"/>
      <c r="H3" s="1520"/>
      <c r="I3" s="1520"/>
      <c r="J3" s="1520"/>
      <c r="K3" s="1520"/>
      <c r="L3" s="1520"/>
      <c r="M3" s="1520"/>
      <c r="N3" s="1520"/>
      <c r="O3" s="1520"/>
      <c r="P3" s="589"/>
    </row>
    <row r="4" spans="1:16" ht="15">
      <c r="A4" s="1521" t="str">
        <f>"Cost of Service Formula Rate Using "&amp;TCOS!L4&amp;" FF1 Balances"</f>
        <v>Cost of Service Formula Rate Using 2020 FF1 Balances</v>
      </c>
      <c r="B4" s="1521"/>
      <c r="C4" s="1521"/>
      <c r="D4" s="1521"/>
      <c r="E4" s="1521"/>
      <c r="F4" s="1521"/>
      <c r="G4" s="1521"/>
      <c r="H4" s="1521"/>
      <c r="I4" s="1521"/>
      <c r="J4" s="1521"/>
      <c r="K4" s="1521"/>
      <c r="L4" s="1521"/>
      <c r="M4" s="1521"/>
      <c r="N4" s="1521"/>
      <c r="O4" s="1521"/>
      <c r="P4" s="589"/>
    </row>
    <row r="5" spans="1:16" ht="15">
      <c r="A5" s="1521" t="s">
        <v>468</v>
      </c>
      <c r="B5" s="1521"/>
      <c r="C5" s="1521"/>
      <c r="D5" s="1521"/>
      <c r="E5" s="1521"/>
      <c r="F5" s="1521"/>
      <c r="G5" s="1521"/>
      <c r="H5" s="1521"/>
      <c r="I5" s="1521"/>
      <c r="J5" s="1521"/>
      <c r="K5" s="1521"/>
      <c r="L5" s="1521"/>
      <c r="M5" s="1521"/>
      <c r="N5" s="1521"/>
      <c r="O5" s="1521"/>
      <c r="P5" s="589"/>
    </row>
    <row r="6" spans="1:16" ht="15">
      <c r="A6" s="1522" t="str">
        <f>TCOS!F9</f>
        <v>Appalachian Power Company</v>
      </c>
      <c r="B6" s="1522"/>
      <c r="C6" s="1522"/>
      <c r="D6" s="1522"/>
      <c r="E6" s="1522"/>
      <c r="F6" s="1522"/>
      <c r="G6" s="1522"/>
      <c r="H6" s="1522"/>
      <c r="I6" s="1522"/>
      <c r="J6" s="1522"/>
      <c r="K6" s="1522"/>
      <c r="L6" s="1522"/>
      <c r="M6" s="1522"/>
      <c r="N6" s="1522"/>
      <c r="O6" s="1522"/>
      <c r="P6" s="589"/>
    </row>
    <row r="7" spans="1:16">
      <c r="P7" s="589"/>
    </row>
    <row r="8" spans="1:16" ht="20.25">
      <c r="A8" s="591"/>
      <c r="C8" s="413"/>
      <c r="N8" s="592" t="str">
        <f>"Page "&amp;P8&amp;" of "</f>
        <v xml:space="preserve">Page 1 of </v>
      </c>
      <c r="O8" s="593">
        <f>COUNT(P$8:P$56676)</f>
        <v>14</v>
      </c>
      <c r="P8" s="594">
        <v>1</v>
      </c>
    </row>
    <row r="9" spans="1:16" ht="18">
      <c r="C9" s="595"/>
      <c r="P9" s="589"/>
    </row>
    <row r="10" spans="1:16">
      <c r="P10" s="589"/>
    </row>
    <row r="11" spans="1:16" ht="18">
      <c r="B11" s="596" t="s">
        <v>171</v>
      </c>
      <c r="C11" s="1540" t="str">
        <f>"Calculate Return and Income Taxes with "&amp;F17&amp;" basis point ROE increase for Projects Qualified for Regional Billing."</f>
        <v>Calculate Return and Income Taxes with  basis point ROE increase for Projects Qualified for Regional Billing.</v>
      </c>
      <c r="D11" s="1541"/>
      <c r="E11" s="1541"/>
      <c r="F11" s="1541"/>
      <c r="G11" s="1541"/>
      <c r="H11" s="1541"/>
      <c r="P11" s="589"/>
    </row>
    <row r="12" spans="1:16" ht="18.75" customHeight="1">
      <c r="C12" s="1541"/>
      <c r="D12" s="1541"/>
      <c r="E12" s="1541"/>
      <c r="F12" s="1541"/>
      <c r="G12" s="1541"/>
      <c r="H12" s="1541"/>
      <c r="P12" s="589"/>
    </row>
    <row r="13" spans="1:16" ht="15.75" customHeight="1">
      <c r="C13" s="528"/>
      <c r="D13" s="528"/>
      <c r="E13" s="528"/>
      <c r="F13" s="528"/>
      <c r="G13" s="528"/>
      <c r="H13" s="528"/>
      <c r="P13" s="589"/>
    </row>
    <row r="14" spans="1:16" ht="15.75">
      <c r="C14" s="597" t="str">
        <f>"A.   Determine 'R' with hypothetical "&amp;F17&amp;" basis point increase in ROE for Identified Projects"</f>
        <v>A.   Determine 'R' with hypothetical  basis point increase in ROE for Identified Projects</v>
      </c>
      <c r="P14" s="589"/>
    </row>
    <row r="15" spans="1:16">
      <c r="C15" s="413"/>
      <c r="P15" s="589"/>
    </row>
    <row r="16" spans="1:16">
      <c r="C16" s="598" t="str">
        <f>"   ROE w/o incentives  (TCOS, ln "&amp;TCOS!B257&amp;")"</f>
        <v xml:space="preserve">   ROE w/o incentives  (TCOS, ln 156)</v>
      </c>
      <c r="E16" s="599"/>
      <c r="F16" s="600">
        <f>TCOS!J257</f>
        <v>0.10349999999999999</v>
      </c>
      <c r="G16" s="599"/>
      <c r="H16" s="601"/>
      <c r="I16" s="601"/>
      <c r="J16" s="602"/>
      <c r="K16" s="601"/>
      <c r="L16" s="601"/>
      <c r="M16" s="601"/>
      <c r="N16" s="601"/>
      <c r="O16" s="601"/>
      <c r="P16" s="602"/>
    </row>
    <row r="17" spans="3:16">
      <c r="C17" s="598" t="s">
        <v>252</v>
      </c>
      <c r="E17" s="599"/>
      <c r="F17" s="868"/>
      <c r="G17" s="603"/>
      <c r="H17" s="601"/>
      <c r="I17" s="601"/>
      <c r="J17" s="602"/>
    </row>
    <row r="18" spans="3:16">
      <c r="C18" s="598" t="str">
        <f>"   ROE with additional "&amp;F17&amp;" basis point incentive"</f>
        <v xml:space="preserve">   ROE with additional  basis point incentive</v>
      </c>
      <c r="D18" s="599"/>
      <c r="E18" s="599"/>
      <c r="F18" s="604">
        <f>IF((F16+(F17/10000)&gt;0.1274),"ERROR",F16+(F17/10000))</f>
        <v>0.10349999999999999</v>
      </c>
      <c r="G18" s="605"/>
      <c r="H18" s="601"/>
      <c r="I18" s="601"/>
      <c r="J18" s="602"/>
    </row>
    <row r="19" spans="3:16">
      <c r="C19" s="59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99"/>
      <c r="F19" s="606"/>
      <c r="G19" s="599"/>
      <c r="H19" s="601"/>
      <c r="I19" s="601"/>
      <c r="J19" s="602"/>
    </row>
    <row r="20" spans="3:16">
      <c r="C20" s="602"/>
      <c r="D20" s="607" t="s">
        <v>146</v>
      </c>
      <c r="E20" s="607" t="s">
        <v>145</v>
      </c>
      <c r="F20" s="608" t="s">
        <v>253</v>
      </c>
      <c r="G20" s="599"/>
      <c r="H20" s="601"/>
      <c r="I20" s="601"/>
      <c r="J20" s="602"/>
    </row>
    <row r="21" spans="3:16" ht="13.5" thickBot="1">
      <c r="C21" s="609" t="s">
        <v>257</v>
      </c>
      <c r="D21" s="610">
        <f>TCOS!H255</f>
        <v>0.52352559515356833</v>
      </c>
      <c r="E21" s="611">
        <f>TCOS!J255</f>
        <v>4.6743489805896918E-2</v>
      </c>
      <c r="F21" s="612">
        <f>E21*D21</f>
        <v>2.4471413320186937E-2</v>
      </c>
      <c r="G21" s="599"/>
      <c r="H21" s="601"/>
      <c r="I21" s="613"/>
      <c r="J21" s="614"/>
      <c r="K21" s="536"/>
      <c r="L21" s="536"/>
      <c r="M21" s="536"/>
      <c r="N21" s="536"/>
      <c r="O21" s="536"/>
    </row>
    <row r="22" spans="3:16">
      <c r="C22" s="609" t="s">
        <v>258</v>
      </c>
      <c r="D22" s="610">
        <f>TCOS!H256</f>
        <v>0</v>
      </c>
      <c r="E22" s="611">
        <f>TCOS!J256</f>
        <v>0</v>
      </c>
      <c r="F22" s="612">
        <f>E22*D22</f>
        <v>0</v>
      </c>
      <c r="G22" s="615"/>
      <c r="H22" s="615"/>
      <c r="I22" s="616"/>
      <c r="J22" s="617"/>
      <c r="K22" s="1534" t="s">
        <v>451</v>
      </c>
      <c r="L22" s="1535"/>
      <c r="M22" s="1535"/>
      <c r="N22" s="1535"/>
      <c r="O22" s="1536"/>
      <c r="P22" s="617"/>
    </row>
    <row r="23" spans="3:16">
      <c r="C23" s="618" t="s">
        <v>244</v>
      </c>
      <c r="D23" s="610">
        <f>TCOS!H257</f>
        <v>0.47647440484643167</v>
      </c>
      <c r="E23" s="611">
        <f>+F18</f>
        <v>0.10349999999999999</v>
      </c>
      <c r="F23" s="619">
        <f>E23*D23</f>
        <v>4.9315100901605673E-2</v>
      </c>
      <c r="G23" s="615"/>
      <c r="H23" s="615"/>
      <c r="I23" s="616"/>
      <c r="J23" s="617"/>
      <c r="K23" s="1537"/>
      <c r="L23" s="1538"/>
      <c r="M23" s="1538"/>
      <c r="N23" s="1538"/>
      <c r="O23" s="1539"/>
      <c r="P23" s="617"/>
    </row>
    <row r="24" spans="3:16">
      <c r="C24" s="620"/>
      <c r="D24" s="332"/>
      <c r="E24" s="621" t="s">
        <v>260</v>
      </c>
      <c r="F24" s="612">
        <f>SUM(F21:F23)</f>
        <v>7.378651422179261E-2</v>
      </c>
      <c r="G24" s="615"/>
      <c r="H24" s="615"/>
      <c r="I24" s="616"/>
      <c r="J24" s="617"/>
      <c r="K24" s="622"/>
      <c r="L24" s="623"/>
      <c r="M24" s="624" t="s">
        <v>254</v>
      </c>
      <c r="N24" s="624" t="s">
        <v>255</v>
      </c>
      <c r="O24" s="625" t="s">
        <v>256</v>
      </c>
      <c r="P24" s="617"/>
    </row>
    <row r="25" spans="3:16">
      <c r="C25" s="541"/>
      <c r="D25" s="626"/>
      <c r="E25" s="626"/>
      <c r="F25" s="615"/>
      <c r="G25" s="615"/>
      <c r="H25" s="615"/>
      <c r="I25" s="615"/>
      <c r="J25" s="627"/>
      <c r="K25" s="628"/>
      <c r="L25" s="629"/>
      <c r="M25" s="629"/>
      <c r="N25" s="629"/>
      <c r="O25" s="630"/>
      <c r="P25" s="627"/>
    </row>
    <row r="26" spans="3:16" ht="16.5" thickBot="1">
      <c r="C26" s="597" t="str">
        <f>"B.   Determine Return using 'R' with hypothetical "&amp;F17&amp;" basis point ROE increase for Identified Projects."</f>
        <v>B.   Determine Return using 'R' with hypothetical  basis point ROE increase for Identified Projects.</v>
      </c>
      <c r="D26" s="626"/>
      <c r="E26" s="626"/>
      <c r="F26" s="631"/>
      <c r="G26" s="615"/>
      <c r="H26" s="599"/>
      <c r="I26" s="615"/>
      <c r="J26" s="627"/>
      <c r="K26" s="632" t="s">
        <v>261</v>
      </c>
      <c r="L26" s="633">
        <f>TCOS!L4</f>
        <v>2020</v>
      </c>
      <c r="M26" s="869">
        <f>N89+N179+N268+N357+N446+N535+N624+N713+N802+N891+N980+N1069+N1158</f>
        <v>26031657.478071176</v>
      </c>
      <c r="N26" s="869">
        <f>N90+N180+N269+N358+N447+N536+N625+N714+N803+N892+N981+N1070+N1159</f>
        <v>26031657.478071176</v>
      </c>
      <c r="O26" s="634">
        <f>+N26-M26</f>
        <v>0</v>
      </c>
      <c r="P26" s="627"/>
    </row>
    <row r="27" spans="3:16">
      <c r="C27" s="602"/>
      <c r="D27" s="626"/>
      <c r="E27" s="626"/>
      <c r="F27" s="627"/>
      <c r="G27" s="627"/>
      <c r="H27" s="627"/>
      <c r="I27" s="627"/>
      <c r="J27" s="627"/>
      <c r="K27" s="635"/>
      <c r="L27" s="635"/>
      <c r="M27" s="635"/>
      <c r="N27" s="635"/>
      <c r="O27" s="635"/>
      <c r="P27" s="627"/>
    </row>
    <row r="28" spans="3:16">
      <c r="C28" s="636" t="str">
        <f>"   Rate Base  (TCOS, ln "&amp;TCOS!B125&amp;")"</f>
        <v xml:space="preserve">   Rate Base  (TCOS, ln 68)</v>
      </c>
      <c r="D28" s="599"/>
      <c r="F28" s="637">
        <f>TCOS!L125</f>
        <v>2405827924.2909727</v>
      </c>
      <c r="G28" s="627"/>
      <c r="H28" s="627"/>
      <c r="I28" s="627"/>
      <c r="J28" s="627"/>
      <c r="K28" s="635"/>
      <c r="L28" s="635"/>
      <c r="M28" s="635"/>
      <c r="N28" s="635"/>
      <c r="O28" s="638"/>
      <c r="P28" s="627"/>
    </row>
    <row r="29" spans="3:16">
      <c r="C29" s="602" t="s">
        <v>474</v>
      </c>
      <c r="D29" s="639"/>
      <c r="F29" s="612">
        <f>F24</f>
        <v>7.378651422179261E-2</v>
      </c>
      <c r="G29" s="627"/>
      <c r="H29" s="627"/>
      <c r="I29" s="627"/>
      <c r="J29" s="627"/>
      <c r="K29" s="627"/>
      <c r="L29" s="627"/>
      <c r="M29" s="627"/>
      <c r="N29" s="627"/>
      <c r="O29" s="627"/>
      <c r="P29" s="627"/>
    </row>
    <row r="30" spans="3:16">
      <c r="C30" s="640" t="s">
        <v>262</v>
      </c>
      <c r="D30" s="640"/>
      <c r="F30" s="616">
        <f>F28*F29</f>
        <v>177517656.35088167</v>
      </c>
      <c r="G30" s="627"/>
      <c r="H30" s="627"/>
      <c r="I30" s="617"/>
      <c r="J30" s="617"/>
      <c r="K30" s="617"/>
      <c r="L30" s="617"/>
      <c r="M30" s="617"/>
      <c r="N30" s="617"/>
      <c r="O30" s="627"/>
      <c r="P30" s="617"/>
    </row>
    <row r="31" spans="3:16">
      <c r="C31" s="641"/>
      <c r="D31" s="601"/>
      <c r="E31" s="601"/>
      <c r="F31" s="627"/>
      <c r="G31" s="627"/>
      <c r="H31" s="627"/>
      <c r="I31" s="617"/>
      <c r="J31" s="617"/>
      <c r="K31" s="617"/>
      <c r="L31" s="617"/>
      <c r="M31" s="617"/>
      <c r="N31" s="617"/>
      <c r="O31" s="627"/>
      <c r="P31" s="617"/>
    </row>
    <row r="32" spans="3:16" ht="15.75">
      <c r="C32" s="597" t="str">
        <f>"C.   Determine Income Taxes using Return with hypothetical "&amp;F17&amp;" basis point ROE increase for Identified Projects."</f>
        <v>C.   Determine Income Taxes using Return with hypothetical  basis point ROE increase for Identified Projects.</v>
      </c>
      <c r="D32" s="642"/>
      <c r="E32" s="642"/>
      <c r="F32" s="643"/>
      <c r="G32" s="643"/>
      <c r="H32" s="643"/>
      <c r="I32" s="644"/>
      <c r="J32" s="644"/>
      <c r="K32" s="644"/>
      <c r="L32" s="644"/>
      <c r="M32" s="644"/>
      <c r="N32" s="644"/>
      <c r="O32" s="643"/>
      <c r="P32" s="644"/>
    </row>
    <row r="33" spans="2:16">
      <c r="C33" s="620"/>
      <c r="D33" s="601"/>
      <c r="E33" s="601"/>
      <c r="F33" s="627"/>
      <c r="G33" s="627"/>
      <c r="H33" s="627"/>
      <c r="I33" s="617"/>
      <c r="J33" s="617"/>
      <c r="K33" s="617"/>
      <c r="L33" s="617"/>
      <c r="M33" s="617"/>
      <c r="N33" s="617"/>
      <c r="O33" s="627"/>
      <c r="P33" s="617"/>
    </row>
    <row r="34" spans="2:16">
      <c r="C34" s="602" t="s">
        <v>263</v>
      </c>
      <c r="D34" s="621"/>
      <c r="F34" s="645">
        <f>F30</f>
        <v>177517656.35088167</v>
      </c>
      <c r="G34" s="627"/>
      <c r="H34" s="627"/>
      <c r="I34" s="627"/>
      <c r="J34" s="627"/>
      <c r="K34" s="627"/>
      <c r="L34" s="627"/>
      <c r="M34" s="627"/>
      <c r="N34" s="627"/>
      <c r="O34" s="627"/>
      <c r="P34" s="627"/>
    </row>
    <row r="35" spans="2:16">
      <c r="C35" s="636" t="str">
        <f>"   Effective Tax Rate  (TCOS, ln "&amp;TCOS!B190&amp;")"</f>
        <v xml:space="preserve">   Effective Tax Rate  (TCOS, ln 114)</v>
      </c>
      <c r="D35" s="564"/>
      <c r="F35" s="646">
        <f>TCOS!G190</f>
        <v>0.20907396239608936</v>
      </c>
      <c r="G35" s="541"/>
      <c r="H35" s="647"/>
      <c r="I35" s="541"/>
      <c r="J35" s="589"/>
      <c r="K35" s="541"/>
      <c r="L35" s="541"/>
      <c r="M35" s="541"/>
      <c r="N35" s="541"/>
      <c r="O35" s="541"/>
      <c r="P35" s="589"/>
    </row>
    <row r="36" spans="2:16">
      <c r="C36" s="641" t="s">
        <v>264</v>
      </c>
      <c r="D36" s="564"/>
      <c r="F36" s="648">
        <f>F34*F35</f>
        <v>37114319.808546148</v>
      </c>
      <c r="G36" s="541"/>
      <c r="H36" s="647"/>
      <c r="I36" s="541"/>
      <c r="J36" s="589"/>
      <c r="K36" s="541"/>
      <c r="L36" s="541"/>
      <c r="M36" s="541"/>
      <c r="N36" s="541"/>
      <c r="O36" s="541"/>
      <c r="P36" s="589"/>
    </row>
    <row r="37" spans="2:16" ht="15">
      <c r="C37" s="620" t="s">
        <v>302</v>
      </c>
      <c r="D37" s="474"/>
      <c r="F37" s="649">
        <f>TCOS!L199</f>
        <v>-54912.02010670599</v>
      </c>
      <c r="G37" s="474"/>
      <c r="H37" s="474"/>
      <c r="I37" s="474"/>
      <c r="J37" s="474"/>
      <c r="K37" s="474"/>
      <c r="L37" s="474"/>
      <c r="M37" s="474"/>
      <c r="N37" s="474"/>
      <c r="O37" s="390"/>
      <c r="P37" s="474"/>
    </row>
    <row r="38" spans="2:16" ht="15">
      <c r="C38" s="620" t="s">
        <v>532</v>
      </c>
      <c r="D38" s="474"/>
      <c r="F38" s="649">
        <f>TCOS!L200</f>
        <v>-6679254.0021372745</v>
      </c>
      <c r="G38" s="474"/>
      <c r="H38" s="474"/>
      <c r="I38" s="474"/>
      <c r="J38" s="474"/>
      <c r="K38" s="474"/>
      <c r="L38" s="474"/>
      <c r="M38" s="474"/>
      <c r="N38" s="474"/>
      <c r="O38" s="390"/>
      <c r="P38" s="474"/>
    </row>
    <row r="39" spans="2:16" ht="15">
      <c r="C39" s="620" t="s">
        <v>533</v>
      </c>
      <c r="D39" s="474"/>
      <c r="F39" s="650">
        <f>TCOS!L201</f>
        <v>2464339.8869397864</v>
      </c>
      <c r="G39" s="474"/>
      <c r="H39" s="474"/>
      <c r="I39" s="474"/>
      <c r="J39" s="474"/>
      <c r="K39" s="474"/>
      <c r="L39" s="474"/>
      <c r="M39" s="474"/>
      <c r="N39" s="474"/>
      <c r="O39" s="390"/>
      <c r="P39" s="474"/>
    </row>
    <row r="40" spans="2:16" ht="15">
      <c r="C40" s="641" t="s">
        <v>265</v>
      </c>
      <c r="D40" s="474"/>
      <c r="F40" s="649">
        <f>F36+F37+F38+F39</f>
        <v>32844493.673241958</v>
      </c>
      <c r="G40" s="474"/>
      <c r="H40" s="474"/>
      <c r="I40" s="474"/>
      <c r="J40" s="474"/>
      <c r="K40" s="474"/>
      <c r="L40" s="474"/>
      <c r="M40" s="474"/>
      <c r="N40" s="474"/>
      <c r="O40" s="348"/>
      <c r="P40" s="474"/>
    </row>
    <row r="41" spans="2:16" ht="12.75" customHeight="1">
      <c r="C41" s="398"/>
      <c r="D41" s="474"/>
      <c r="E41" s="474"/>
      <c r="F41" s="474"/>
      <c r="G41" s="474"/>
      <c r="H41" s="474"/>
      <c r="I41" s="474"/>
      <c r="J41" s="474"/>
      <c r="K41" s="474"/>
      <c r="L41" s="474"/>
      <c r="M41" s="474"/>
      <c r="N41" s="474"/>
      <c r="O41" s="348"/>
      <c r="P41" s="474"/>
    </row>
    <row r="42" spans="2:16" ht="18.75">
      <c r="B42" s="596" t="s">
        <v>172</v>
      </c>
      <c r="C42" s="595" t="str">
        <f>"Calculate Net Plant Carrying Charge Rate (Fixed Charge Rate or FCR) with hypothetical "&amp;F17&amp;""</f>
        <v xml:space="preserve">Calculate Net Plant Carrying Charge Rate (Fixed Charge Rate or FCR) with hypothetical </v>
      </c>
      <c r="D42" s="474"/>
      <c r="E42" s="474"/>
      <c r="F42" s="474"/>
      <c r="G42" s="474"/>
      <c r="H42" s="474"/>
      <c r="I42" s="474"/>
      <c r="J42" s="474"/>
      <c r="K42" s="474"/>
      <c r="L42" s="474"/>
      <c r="M42" s="474"/>
      <c r="N42" s="474"/>
      <c r="O42" s="348"/>
      <c r="P42" s="474"/>
    </row>
    <row r="43" spans="2:16" ht="18.75" customHeight="1">
      <c r="C43" s="595" t="str">
        <f>"basis point ROE increase."</f>
        <v>basis point ROE increase.</v>
      </c>
      <c r="D43" s="474"/>
      <c r="E43" s="474"/>
      <c r="F43" s="474"/>
      <c r="G43" s="474"/>
      <c r="H43" s="474"/>
      <c r="I43" s="474"/>
      <c r="J43" s="474"/>
      <c r="K43" s="474"/>
      <c r="L43" s="474"/>
      <c r="M43" s="474"/>
      <c r="N43" s="474"/>
      <c r="O43" s="348"/>
      <c r="P43" s="474"/>
    </row>
    <row r="44" spans="2:16" ht="12.75" customHeight="1">
      <c r="C44" s="595"/>
      <c r="D44" s="474"/>
      <c r="E44" s="474"/>
      <c r="F44" s="474"/>
      <c r="G44" s="474"/>
      <c r="H44" s="474"/>
      <c r="I44" s="474"/>
      <c r="J44" s="474"/>
      <c r="K44" s="474"/>
      <c r="L44" s="474"/>
      <c r="M44" s="474"/>
      <c r="N44" s="474"/>
      <c r="O44" s="348"/>
      <c r="P44" s="474"/>
    </row>
    <row r="45" spans="2:16" ht="15.75">
      <c r="C45" s="597" t="s">
        <v>465</v>
      </c>
      <c r="D45" s="474"/>
      <c r="E45" s="474"/>
      <c r="F45" s="473"/>
      <c r="G45" s="474"/>
      <c r="H45" s="474"/>
      <c r="I45" s="474"/>
      <c r="J45" s="474"/>
      <c r="K45" s="474"/>
      <c r="L45" s="474"/>
      <c r="M45" s="474"/>
      <c r="N45" s="474"/>
      <c r="O45" s="348"/>
      <c r="P45" s="474"/>
    </row>
    <row r="46" spans="2:16">
      <c r="B46" s="577"/>
      <c r="C46" s="598"/>
      <c r="D46" s="651"/>
      <c r="E46" s="651"/>
      <c r="F46" s="651"/>
      <c r="G46" s="651"/>
      <c r="H46" s="651"/>
      <c r="I46" s="651"/>
      <c r="J46" s="651"/>
      <c r="K46" s="651"/>
      <c r="L46" s="651"/>
      <c r="M46" s="651"/>
      <c r="N46" s="651"/>
      <c r="O46" s="649"/>
      <c r="P46" s="651"/>
    </row>
    <row r="47" spans="2:16" ht="12.75" customHeight="1">
      <c r="B47" s="577"/>
      <c r="C47" s="636" t="str">
        <f>"   Annual Revenue Requirement  (TCOS, ln "&amp;TCOS!B13&amp;")"</f>
        <v xml:space="preserve">   Annual Revenue Requirement  (TCOS, ln 1)</v>
      </c>
      <c r="D47" s="651"/>
      <c r="E47" s="651"/>
      <c r="G47" s="649">
        <f>TCOS!L13</f>
        <v>373735460.34499419</v>
      </c>
      <c r="H47" s="651"/>
      <c r="I47" s="651"/>
      <c r="J47" s="651"/>
      <c r="K47" s="651"/>
      <c r="L47" s="651"/>
      <c r="M47" s="651"/>
      <c r="N47" s="651"/>
      <c r="O47" s="649"/>
      <c r="P47" s="651"/>
    </row>
    <row r="48" spans="2:16" ht="12.75" customHeight="1">
      <c r="B48" s="577"/>
      <c r="C48" s="636" t="str">
        <f>"   Lease Payments (TCOS, Ln "&amp;TCOS!B168&amp;")"</f>
        <v xml:space="preserve">   Lease Payments (TCOS, Ln 95)</v>
      </c>
      <c r="D48" s="651"/>
      <c r="E48" s="651"/>
      <c r="G48" s="649">
        <f>TCOS!L168</f>
        <v>0</v>
      </c>
      <c r="H48" s="651"/>
      <c r="I48" s="651"/>
      <c r="J48" s="651"/>
      <c r="K48" s="651"/>
      <c r="L48" s="651"/>
      <c r="M48" s="651"/>
      <c r="N48" s="651"/>
      <c r="O48" s="649"/>
      <c r="P48" s="651"/>
    </row>
    <row r="49" spans="2:16">
      <c r="B49" s="577"/>
      <c r="C49" s="636" t="str">
        <f>"   Return  (TCOS, ln "&amp;TCOS!B205&amp;")"</f>
        <v xml:space="preserve">   Return  (TCOS, ln 126)</v>
      </c>
      <c r="D49" s="651"/>
      <c r="E49" s="651"/>
      <c r="G49" s="652">
        <f>TCOS!L205</f>
        <v>177517656.35088167</v>
      </c>
      <c r="H49" s="653"/>
      <c r="I49" s="653"/>
      <c r="J49" s="653"/>
      <c r="K49" s="653"/>
      <c r="L49" s="653"/>
      <c r="M49" s="653"/>
      <c r="N49" s="653"/>
      <c r="O49" s="649"/>
      <c r="P49" s="653"/>
    </row>
    <row r="50" spans="2:16">
      <c r="B50" s="577"/>
      <c r="C50" s="636" t="str">
        <f>"   Income Taxes  (TCOS, ln "&amp;TCOS!B203&amp;")"</f>
        <v xml:space="preserve">   Income Taxes  (TCOS, ln 125)</v>
      </c>
      <c r="D50" s="651"/>
      <c r="E50" s="651"/>
      <c r="G50" s="654">
        <f>TCOS!L203</f>
        <v>32844493.673241958</v>
      </c>
      <c r="H50" s="651"/>
      <c r="I50" s="655"/>
      <c r="J50" s="655"/>
      <c r="K50" s="655"/>
      <c r="L50" s="655"/>
      <c r="M50" s="655"/>
      <c r="N50" s="655"/>
      <c r="O50" s="651"/>
      <c r="P50" s="655"/>
    </row>
    <row r="51" spans="2:16">
      <c r="B51" s="577"/>
      <c r="C51" s="656" t="s">
        <v>590</v>
      </c>
      <c r="D51" s="651"/>
      <c r="E51" s="651"/>
      <c r="G51" s="652">
        <f>G47-G49-G50-G48</f>
        <v>163373310.32087058</v>
      </c>
      <c r="H51" s="651"/>
      <c r="I51" s="657"/>
      <c r="J51" s="657"/>
      <c r="K51" s="657"/>
      <c r="L51" s="657"/>
      <c r="M51" s="657"/>
      <c r="N51" s="657"/>
      <c r="O51" s="657"/>
      <c r="P51" s="657"/>
    </row>
    <row r="52" spans="2:16">
      <c r="B52" s="577"/>
      <c r="C52" s="598"/>
      <c r="D52" s="651"/>
      <c r="E52" s="651"/>
      <c r="F52" s="649"/>
      <c r="G52" s="658"/>
      <c r="H52" s="659"/>
      <c r="I52" s="659"/>
      <c r="J52" s="659"/>
      <c r="K52" s="659"/>
      <c r="L52" s="659"/>
      <c r="M52" s="659"/>
      <c r="N52" s="659"/>
      <c r="O52" s="659"/>
      <c r="P52" s="659"/>
    </row>
    <row r="53" spans="2:16" ht="15.75">
      <c r="B53" s="577"/>
      <c r="C53" s="597" t="str">
        <f>"B.   Determine Annual Revenue Requirement with hypothetical "&amp;F17&amp;" basis point increase in ROE."</f>
        <v>B.   Determine Annual Revenue Requirement with hypothetical  basis point increase in ROE.</v>
      </c>
      <c r="D53" s="660"/>
      <c r="E53" s="660"/>
      <c r="F53" s="649"/>
      <c r="G53" s="658"/>
      <c r="H53" s="659"/>
      <c r="I53" s="659"/>
      <c r="J53" s="659"/>
      <c r="K53" s="659"/>
      <c r="L53" s="659"/>
      <c r="M53" s="659"/>
      <c r="N53" s="659"/>
      <c r="O53" s="659"/>
      <c r="P53" s="659"/>
    </row>
    <row r="54" spans="2:16">
      <c r="B54" s="577"/>
      <c r="C54" s="598"/>
      <c r="D54" s="660"/>
      <c r="E54" s="660"/>
      <c r="F54" s="649"/>
      <c r="G54" s="658"/>
      <c r="H54" s="659"/>
      <c r="I54" s="659"/>
      <c r="J54" s="659"/>
      <c r="K54" s="659"/>
      <c r="L54" s="659"/>
      <c r="M54" s="659"/>
      <c r="N54" s="659"/>
      <c r="O54" s="659"/>
      <c r="P54" s="659"/>
    </row>
    <row r="55" spans="2:16">
      <c r="B55" s="577"/>
      <c r="C55" s="598" t="str">
        <f>C51</f>
        <v xml:space="preserve">   Annual Revenue Requirement, Less Lease Payments, Return and Taxes</v>
      </c>
      <c r="D55" s="660"/>
      <c r="E55" s="660"/>
      <c r="G55" s="649">
        <f>G51</f>
        <v>163373310.32087058</v>
      </c>
      <c r="H55" s="651"/>
      <c r="I55" s="651"/>
      <c r="J55" s="651"/>
      <c r="K55" s="651"/>
      <c r="L55" s="651"/>
      <c r="M55" s="651"/>
      <c r="N55" s="651"/>
      <c r="O55" s="661"/>
      <c r="P55" s="651"/>
    </row>
    <row r="56" spans="2:16">
      <c r="B56" s="577"/>
      <c r="C56" s="602" t="s">
        <v>299</v>
      </c>
      <c r="D56" s="662"/>
      <c r="E56" s="656"/>
      <c r="G56" s="663">
        <f>F30</f>
        <v>177517656.35088167</v>
      </c>
      <c r="H56" s="664"/>
      <c r="I56" s="656"/>
      <c r="J56" s="656"/>
      <c r="K56" s="656"/>
      <c r="L56" s="656"/>
      <c r="M56" s="656"/>
      <c r="N56" s="656"/>
      <c r="O56" s="656"/>
      <c r="P56" s="656"/>
    </row>
    <row r="57" spans="2:16" ht="12.75" customHeight="1">
      <c r="B57" s="577"/>
      <c r="C57" s="620" t="s">
        <v>266</v>
      </c>
      <c r="D57" s="651"/>
      <c r="E57" s="651"/>
      <c r="G57" s="654">
        <f>F40</f>
        <v>32844493.673241958</v>
      </c>
      <c r="H57" s="647"/>
      <c r="I57" s="541"/>
      <c r="J57" s="589"/>
      <c r="K57" s="541"/>
      <c r="L57" s="541"/>
      <c r="M57" s="541"/>
      <c r="N57" s="541"/>
      <c r="O57" s="541"/>
      <c r="P57" s="589"/>
    </row>
    <row r="58" spans="2:16">
      <c r="B58" s="577"/>
      <c r="C58" s="656" t="str">
        <f>"   Annual Revenue Requirement, with "&amp;F17&amp;" Basis Point ROE increase"</f>
        <v xml:space="preserve">   Annual Revenue Requirement, with  Basis Point ROE increase</v>
      </c>
      <c r="D58" s="564"/>
      <c r="E58" s="541"/>
      <c r="G58" s="648">
        <f>SUM(G55:G57)</f>
        <v>373735460.34499419</v>
      </c>
      <c r="H58" s="647"/>
      <c r="I58" s="541"/>
      <c r="J58" s="589"/>
      <c r="K58" s="541"/>
      <c r="L58" s="541"/>
      <c r="M58" s="541"/>
      <c r="N58" s="541"/>
      <c r="O58" s="541"/>
      <c r="P58" s="589"/>
    </row>
    <row r="59" spans="2:16">
      <c r="B59" s="577"/>
      <c r="C59" s="636" t="str">
        <f>"   Depreciation  (TCOS, ln "&amp;TCOS!B174&amp;")"</f>
        <v xml:space="preserve">   Depreciation  (TCOS, ln 100)</v>
      </c>
      <c r="D59" s="564"/>
      <c r="E59" s="541"/>
      <c r="G59" s="665">
        <f>TCOS!L174</f>
        <v>79482248.980185345</v>
      </c>
      <c r="H59" s="647"/>
      <c r="I59" s="541"/>
      <c r="J59" s="589"/>
      <c r="K59" s="541"/>
      <c r="L59" s="541"/>
      <c r="M59" s="541"/>
      <c r="N59" s="541"/>
      <c r="O59" s="541"/>
      <c r="P59" s="589"/>
    </row>
    <row r="60" spans="2:16">
      <c r="B60" s="577"/>
      <c r="C60" s="656" t="str">
        <f>"   Annual Rev. Req, w/"&amp;F17&amp;" Basis Point ROE increase, less Depreciation"</f>
        <v xml:space="preserve">   Annual Rev. Req, w/ Basis Point ROE increase, less Depreciation</v>
      </c>
      <c r="D60" s="564"/>
      <c r="E60" s="541"/>
      <c r="G60" s="648">
        <f>G58-G59</f>
        <v>294253211.36480886</v>
      </c>
      <c r="H60" s="647"/>
      <c r="I60" s="541"/>
      <c r="J60" s="589"/>
      <c r="K60" s="541"/>
      <c r="L60" s="541"/>
      <c r="M60" s="541"/>
      <c r="N60" s="541"/>
      <c r="O60" s="541"/>
      <c r="P60" s="589"/>
    </row>
    <row r="61" spans="2:16">
      <c r="B61" s="577"/>
      <c r="C61" s="541"/>
      <c r="D61" s="564"/>
      <c r="E61" s="541"/>
      <c r="F61" s="541"/>
      <c r="G61" s="541"/>
      <c r="H61" s="647"/>
      <c r="I61" s="541"/>
      <c r="J61" s="589"/>
      <c r="K61" s="541"/>
      <c r="L61" s="541"/>
      <c r="M61" s="541"/>
      <c r="N61" s="541"/>
      <c r="O61" s="541"/>
      <c r="P61" s="589"/>
    </row>
    <row r="62" spans="2:16" ht="15.75">
      <c r="B62" s="577"/>
      <c r="C62" s="597" t="str">
        <f>"C.   Determine FCR with hypothetical "&amp;F17&amp;" basis point ROE increase."</f>
        <v>C.   Determine FCR with hypothetical  basis point ROE increase.</v>
      </c>
      <c r="D62" s="564"/>
      <c r="E62" s="541"/>
      <c r="F62" s="541"/>
      <c r="G62" s="541"/>
      <c r="H62" s="647"/>
      <c r="I62" s="541"/>
      <c r="J62" s="589"/>
      <c r="K62" s="541"/>
      <c r="L62" s="541"/>
      <c r="M62" s="541"/>
      <c r="N62" s="541"/>
      <c r="O62" s="541"/>
      <c r="P62" s="589"/>
    </row>
    <row r="63" spans="2:16">
      <c r="B63" s="577"/>
      <c r="C63" s="541"/>
      <c r="D63" s="564"/>
      <c r="E63" s="541"/>
      <c r="F63" s="541"/>
      <c r="G63" s="541"/>
      <c r="H63" s="647"/>
      <c r="I63" s="541"/>
      <c r="J63" s="589"/>
      <c r="K63" s="541"/>
      <c r="L63" s="541"/>
      <c r="M63" s="541"/>
      <c r="N63" s="541"/>
      <c r="O63" s="541"/>
      <c r="P63" s="589"/>
    </row>
    <row r="64" spans="2:16">
      <c r="B64" s="577"/>
      <c r="C64" s="636" t="str">
        <f>"   Net Transmission Plant  (TCOS, ln "&amp;TCOS!B91&amp;")"</f>
        <v xml:space="preserve">   Net Transmission Plant  (TCOS, ln 42)</v>
      </c>
      <c r="D64" s="564"/>
      <c r="E64" s="541"/>
      <c r="G64" s="648">
        <f>TCOS!L91</f>
        <v>2914453076.2376151</v>
      </c>
      <c r="H64" s="666"/>
      <c r="I64" s="541"/>
      <c r="J64" s="589"/>
      <c r="K64" s="541"/>
      <c r="L64" s="541"/>
      <c r="M64" s="541"/>
      <c r="N64" s="541"/>
      <c r="O64" s="541"/>
      <c r="P64" s="589"/>
    </row>
    <row r="65" spans="2:16">
      <c r="B65" s="577"/>
      <c r="C65" s="656" t="str">
        <f>"   Annual Revenue Requirement, with "&amp;F17&amp;" Basis Point ROE increase"</f>
        <v xml:space="preserve">   Annual Revenue Requirement, with  Basis Point ROE increase</v>
      </c>
      <c r="D65" s="564"/>
      <c r="E65" s="541"/>
      <c r="G65" s="648">
        <f>G58</f>
        <v>373735460.34499419</v>
      </c>
      <c r="H65" s="647"/>
      <c r="I65" s="541"/>
      <c r="J65" s="589"/>
      <c r="K65" s="541"/>
      <c r="L65" s="541"/>
      <c r="M65" s="541"/>
      <c r="N65" s="541"/>
      <c r="O65" s="541"/>
      <c r="P65" s="589"/>
    </row>
    <row r="66" spans="2:16">
      <c r="B66" s="577"/>
      <c r="C66" s="656" t="str">
        <f>"   FCR with "&amp;F17&amp;" Basis Point increase in ROE"</f>
        <v xml:space="preserve">   FCR with  Basis Point increase in ROE</v>
      </c>
      <c r="D66" s="564"/>
      <c r="E66" s="541"/>
      <c r="G66" s="646">
        <f>G65/G64</f>
        <v>0.12823519561600366</v>
      </c>
      <c r="H66" s="647"/>
      <c r="I66" s="541"/>
      <c r="J66" s="589"/>
      <c r="K66" s="541"/>
      <c r="L66" s="541"/>
      <c r="M66" s="541"/>
      <c r="N66" s="541"/>
      <c r="O66" s="541"/>
      <c r="P66" s="589"/>
    </row>
    <row r="67" spans="2:16">
      <c r="B67" s="577"/>
      <c r="C67" s="370"/>
      <c r="D67" s="564"/>
      <c r="E67" s="541"/>
      <c r="G67" s="577"/>
      <c r="H67" s="647"/>
      <c r="I67" s="541"/>
      <c r="J67" s="589"/>
      <c r="K67" s="541"/>
      <c r="L67" s="541"/>
      <c r="M67" s="541"/>
      <c r="N67" s="541"/>
      <c r="O67" s="541"/>
      <c r="P67" s="589"/>
    </row>
    <row r="68" spans="2:16">
      <c r="B68" s="577"/>
      <c r="C68" s="656" t="str">
        <f>"   Annual Rev. Req, w / "&amp;F17&amp;" Basis Point ROE increase, less Dep."</f>
        <v xml:space="preserve">   Annual Rev. Req, w /  Basis Point ROE increase, less Dep.</v>
      </c>
      <c r="D68" s="564"/>
      <c r="E68" s="541"/>
      <c r="G68" s="648">
        <f>G60</f>
        <v>294253211.36480886</v>
      </c>
      <c r="H68" s="647"/>
      <c r="I68" s="541"/>
      <c r="J68" s="589"/>
      <c r="K68" s="541"/>
      <c r="L68" s="541"/>
      <c r="M68" s="541"/>
      <c r="N68" s="541"/>
      <c r="O68" s="541"/>
      <c r="P68" s="589"/>
    </row>
    <row r="69" spans="2:16">
      <c r="B69" s="577"/>
      <c r="C69" s="656" t="str">
        <f>"   FCR with "&amp;F17&amp;" Basis Point ROE increase, less Depreciation"</f>
        <v xml:space="preserve">   FCR with  Basis Point ROE increase, less Depreciation</v>
      </c>
      <c r="D69" s="564"/>
      <c r="E69" s="541"/>
      <c r="G69" s="646">
        <f>G68/G64</f>
        <v>0.1009634410531228</v>
      </c>
      <c r="H69" s="647"/>
      <c r="I69" s="541"/>
      <c r="J69" s="589"/>
      <c r="K69" s="541"/>
      <c r="L69" s="541"/>
      <c r="M69" s="541"/>
      <c r="N69" s="541"/>
      <c r="O69" s="541"/>
      <c r="P69" s="589"/>
    </row>
    <row r="70" spans="2:16">
      <c r="B70" s="577"/>
      <c r="C70" s="636" t="str">
        <f>"   FCR less Depreciation  (TCOS, ln "&amp;TCOS!B34&amp;")"</f>
        <v xml:space="preserve">   FCR less Depreciation  (TCOS, ln 10)</v>
      </c>
      <c r="D70" s="564"/>
      <c r="E70" s="541"/>
      <c r="G70" s="667">
        <f>TCOS!L34</f>
        <v>0.1009634410531228</v>
      </c>
      <c r="H70" s="647"/>
      <c r="I70" s="541"/>
      <c r="J70" s="589"/>
      <c r="K70" s="541"/>
      <c r="L70" s="541"/>
      <c r="M70" s="541"/>
      <c r="N70" s="541"/>
      <c r="O70" s="541"/>
      <c r="P70" s="589"/>
    </row>
    <row r="71" spans="2:16">
      <c r="B71" s="577"/>
      <c r="C71" s="656" t="str">
        <f>"   Incremental FCR with "&amp;F17&amp;" Basis Point ROE increase, less Depreciation"</f>
        <v xml:space="preserve">   Incremental FCR with  Basis Point ROE increase, less Depreciation</v>
      </c>
      <c r="D71" s="564"/>
      <c r="E71" s="541"/>
      <c r="G71" s="646">
        <f>G69-G70</f>
        <v>0</v>
      </c>
      <c r="H71" s="647"/>
      <c r="I71" s="541"/>
      <c r="J71" s="589"/>
      <c r="K71" s="541"/>
      <c r="L71" s="541"/>
      <c r="M71" s="541"/>
      <c r="N71" s="541"/>
      <c r="O71" s="541"/>
      <c r="P71" s="589"/>
    </row>
    <row r="72" spans="2:16">
      <c r="B72" s="577"/>
      <c r="C72" s="656"/>
      <c r="D72" s="564"/>
      <c r="E72" s="541"/>
      <c r="F72" s="646"/>
      <c r="G72" s="541"/>
      <c r="H72" s="647"/>
      <c r="I72" s="541"/>
      <c r="J72" s="589"/>
      <c r="K72" s="541"/>
      <c r="L72" s="541"/>
      <c r="M72" s="541"/>
      <c r="N72" s="541"/>
      <c r="O72" s="541"/>
      <c r="P72" s="589"/>
    </row>
    <row r="73" spans="2:16" ht="18.75">
      <c r="B73" s="596" t="s">
        <v>173</v>
      </c>
      <c r="C73" s="595" t="s">
        <v>267</v>
      </c>
      <c r="D73" s="564"/>
      <c r="E73" s="541"/>
      <c r="F73" s="646"/>
      <c r="G73" s="541"/>
      <c r="H73" s="647"/>
      <c r="I73" s="541"/>
      <c r="J73" s="589"/>
      <c r="K73" s="541"/>
      <c r="L73" s="541"/>
      <c r="M73" s="541"/>
      <c r="N73" s="541"/>
      <c r="O73" s="541"/>
      <c r="P73" s="589"/>
    </row>
    <row r="74" spans="2:16">
      <c r="B74" s="577"/>
      <c r="C74" s="656"/>
      <c r="D74" s="564"/>
      <c r="E74" s="541"/>
      <c r="F74" s="646"/>
      <c r="G74" s="541"/>
      <c r="H74" s="647"/>
      <c r="I74" s="541"/>
      <c r="J74" s="589"/>
      <c r="K74" s="541"/>
      <c r="L74" s="541"/>
      <c r="M74" s="541"/>
      <c r="N74" s="541"/>
      <c r="O74" s="541"/>
      <c r="P74" s="589"/>
    </row>
    <row r="75" spans="2:16">
      <c r="B75" s="577"/>
      <c r="C75" s="656" t="str">
        <f>+"Average Transmission Plant Balance for "&amp;TCOS!L4&amp;" (TCOS, ln "&amp;TCOS!B68&amp;")"</f>
        <v>Average Transmission Plant Balance for 2020 (TCOS, ln 21)</v>
      </c>
      <c r="D75" s="564"/>
      <c r="G75" s="647">
        <f>TCOS!L68</f>
        <v>3636228763.8460765</v>
      </c>
      <c r="I75" s="541"/>
      <c r="J75" s="589"/>
      <c r="K75" s="670"/>
      <c r="L75" s="541"/>
      <c r="M75" s="541"/>
      <c r="N75" s="541"/>
      <c r="O75" s="541"/>
      <c r="P75" s="589"/>
    </row>
    <row r="76" spans="2:16">
      <c r="B76" s="577"/>
      <c r="C76" s="668" t="str">
        <f>"Annual Depreciation and Amortization Expense  (TCOS, ln "&amp;TCOS!B174&amp;")"</f>
        <v>Annual Depreciation and Amortization Expense  (TCOS, ln 100)</v>
      </c>
      <c r="D76" s="564"/>
      <c r="E76" s="541"/>
      <c r="G76" s="669">
        <f>TCOS!L174</f>
        <v>79482248.980185345</v>
      </c>
      <c r="H76" s="647"/>
      <c r="I76" s="541"/>
      <c r="J76" s="589"/>
      <c r="K76" s="541"/>
      <c r="L76" s="541"/>
      <c r="M76" s="541"/>
      <c r="N76" s="541"/>
      <c r="O76" s="541"/>
      <c r="P76" s="589"/>
    </row>
    <row r="77" spans="2:16">
      <c r="B77" s="577"/>
      <c r="C77" s="656" t="s">
        <v>268</v>
      </c>
      <c r="D77" s="564"/>
      <c r="E77" s="541"/>
      <c r="G77" s="646">
        <f>+G76/G75</f>
        <v>2.1858429197429304E-2</v>
      </c>
      <c r="H77" s="671"/>
      <c r="I77" s="541"/>
      <c r="J77" s="589"/>
      <c r="K77" s="541"/>
      <c r="L77" s="541"/>
      <c r="M77" s="541"/>
      <c r="N77" s="541"/>
      <c r="O77" s="541"/>
      <c r="P77" s="589"/>
    </row>
    <row r="78" spans="2:16">
      <c r="B78" s="577"/>
      <c r="C78" s="656" t="s">
        <v>269</v>
      </c>
      <c r="D78" s="564"/>
      <c r="E78" s="541"/>
      <c r="G78" s="671">
        <f>1/G77</f>
        <v>45.748941562443406</v>
      </c>
      <c r="H78" s="647"/>
      <c r="I78" s="541"/>
      <c r="J78" s="589"/>
      <c r="K78" s="541"/>
      <c r="L78" s="541"/>
      <c r="M78" s="541"/>
      <c r="N78" s="541"/>
      <c r="O78" s="541"/>
      <c r="P78" s="589"/>
    </row>
    <row r="79" spans="2:16">
      <c r="B79" s="577"/>
      <c r="C79" s="656" t="s">
        <v>270</v>
      </c>
      <c r="D79" s="564"/>
      <c r="E79" s="541"/>
      <c r="G79" s="672">
        <f>ROUND(G78,0)</f>
        <v>46</v>
      </c>
      <c r="H79" s="647"/>
      <c r="I79" s="541"/>
      <c r="J79" s="589"/>
      <c r="K79" s="541"/>
      <c r="L79" s="541"/>
      <c r="M79" s="541"/>
      <c r="N79" s="541"/>
      <c r="O79" s="541"/>
      <c r="P79" s="589"/>
    </row>
    <row r="80" spans="2:16">
      <c r="B80" s="577"/>
      <c r="C80" s="656"/>
      <c r="D80" s="564"/>
      <c r="E80" s="541"/>
      <c r="G80" s="672"/>
      <c r="H80" s="647"/>
      <c r="I80" s="541"/>
      <c r="J80" s="589"/>
      <c r="K80" s="541"/>
      <c r="L80" s="541"/>
      <c r="M80" s="541"/>
      <c r="N80" s="541"/>
      <c r="O80" s="541"/>
      <c r="P80" s="589"/>
    </row>
    <row r="83" spans="1:16" ht="20.25">
      <c r="A83" s="676" t="s">
        <v>972</v>
      </c>
      <c r="B83" s="541"/>
      <c r="C83" s="656"/>
      <c r="D83" s="564"/>
      <c r="E83" s="541"/>
      <c r="F83" s="646"/>
      <c r="G83" s="541"/>
      <c r="H83" s="1245"/>
      <c r="K83" s="677"/>
      <c r="L83" s="677"/>
      <c r="M83" s="677"/>
      <c r="N83" s="592" t="str">
        <f>"Page "&amp;SUM(P$6:P83)&amp;" of "</f>
        <v xml:space="preserve">Page 2 of </v>
      </c>
      <c r="O83" s="593">
        <f>COUNT(P$6:P$59606)</f>
        <v>14</v>
      </c>
      <c r="P83" s="668">
        <v>1</v>
      </c>
    </row>
    <row r="84" spans="1:16">
      <c r="B84" s="541"/>
      <c r="C84" s="541"/>
      <c r="D84" s="564"/>
      <c r="E84" s="541"/>
      <c r="F84" s="541"/>
      <c r="G84" s="541"/>
      <c r="H84" s="1245"/>
      <c r="I84" s="541"/>
      <c r="J84" s="589"/>
      <c r="K84" s="541"/>
      <c r="L84" s="541"/>
      <c r="M84" s="541"/>
      <c r="N84" s="541"/>
      <c r="O84" s="541"/>
      <c r="P84" s="589"/>
    </row>
    <row r="85" spans="1:16" ht="18">
      <c r="B85" s="596" t="s">
        <v>174</v>
      </c>
      <c r="C85" s="678" t="s">
        <v>290</v>
      </c>
      <c r="D85" s="564"/>
      <c r="E85" s="541"/>
      <c r="F85" s="541"/>
      <c r="G85" s="541"/>
      <c r="H85" s="1245"/>
      <c r="I85" s="1245"/>
      <c r="J85" s="1246"/>
      <c r="K85" s="1245"/>
      <c r="L85" s="1245"/>
      <c r="M85" s="1245"/>
      <c r="N85" s="1245"/>
      <c r="O85" s="541"/>
      <c r="P85" s="1246"/>
    </row>
    <row r="86" spans="1:16" ht="18.75">
      <c r="B86" s="596"/>
      <c r="C86" s="595"/>
      <c r="D86" s="564"/>
      <c r="E86" s="541"/>
      <c r="F86" s="541"/>
      <c r="G86" s="541"/>
      <c r="H86" s="1245"/>
      <c r="I86" s="1245"/>
      <c r="J86" s="1246"/>
      <c r="K86" s="1245"/>
      <c r="L86" s="1245"/>
      <c r="M86" s="1245"/>
      <c r="N86" s="1245"/>
      <c r="O86" s="541"/>
      <c r="P86" s="1246"/>
    </row>
    <row r="87" spans="1:16" ht="18.75">
      <c r="B87" s="596"/>
      <c r="C87" s="595" t="s">
        <v>291</v>
      </c>
      <c r="D87" s="564"/>
      <c r="E87" s="541"/>
      <c r="F87" s="541"/>
      <c r="G87" s="541"/>
      <c r="H87" s="1245"/>
      <c r="I87" s="1245"/>
      <c r="J87" s="1246"/>
      <c r="K87" s="1245"/>
      <c r="L87" s="1245"/>
      <c r="M87" s="1245"/>
      <c r="N87" s="1245"/>
      <c r="O87" s="541"/>
      <c r="P87" s="1246"/>
    </row>
    <row r="88" spans="1:16" ht="15.75" thickBot="1">
      <c r="B88" s="332"/>
      <c r="C88" s="398"/>
      <c r="D88" s="564"/>
      <c r="E88" s="541"/>
      <c r="F88" s="541"/>
      <c r="G88" s="541"/>
      <c r="H88" s="1245"/>
      <c r="I88" s="1245"/>
      <c r="J88" s="1246"/>
      <c r="K88" s="1245"/>
      <c r="L88" s="1245"/>
      <c r="M88" s="1245"/>
      <c r="N88" s="1245"/>
      <c r="O88" s="541"/>
      <c r="P88" s="1246"/>
    </row>
    <row r="89" spans="1:16" ht="15.75">
      <c r="B89" s="332"/>
      <c r="C89" s="597" t="s">
        <v>292</v>
      </c>
      <c r="D89" s="564"/>
      <c r="E89" s="541"/>
      <c r="F89" s="541"/>
      <c r="G89" s="1247"/>
      <c r="H89" s="541" t="s">
        <v>271</v>
      </c>
      <c r="I89" s="541"/>
      <c r="J89" s="589"/>
      <c r="K89" s="679" t="s">
        <v>296</v>
      </c>
      <c r="L89" s="680"/>
      <c r="M89" s="681"/>
      <c r="N89" s="1248">
        <f>VLOOKUP(I95,C102:O161,5)</f>
        <v>1389324.2744901995</v>
      </c>
      <c r="O89" s="541"/>
      <c r="P89" s="589"/>
    </row>
    <row r="90" spans="1:16" ht="15.75">
      <c r="B90" s="332"/>
      <c r="C90" s="597"/>
      <c r="D90" s="564"/>
      <c r="E90" s="541"/>
      <c r="F90" s="541"/>
      <c r="G90" s="541"/>
      <c r="H90" s="1249"/>
      <c r="I90" s="1249"/>
      <c r="J90" s="1250"/>
      <c r="K90" s="684" t="s">
        <v>297</v>
      </c>
      <c r="L90" s="1251"/>
      <c r="M90" s="589"/>
      <c r="N90" s="1252">
        <f>VLOOKUP(I95,C102:O161,6)</f>
        <v>1389324.2744901995</v>
      </c>
      <c r="O90" s="541"/>
      <c r="P90" s="1250"/>
    </row>
    <row r="91" spans="1:16" ht="13.5" thickBot="1">
      <c r="B91" s="332"/>
      <c r="C91" s="685" t="s">
        <v>293</v>
      </c>
      <c r="D91" s="1544" t="s">
        <v>973</v>
      </c>
      <c r="E91" s="1544"/>
      <c r="F91" s="1544"/>
      <c r="G91" s="1544"/>
      <c r="H91" s="1245"/>
      <c r="I91" s="1245"/>
      <c r="J91" s="1246"/>
      <c r="K91" s="1253" t="s">
        <v>450</v>
      </c>
      <c r="L91" s="1254"/>
      <c r="M91" s="1254"/>
      <c r="N91" s="1255">
        <f>+N90-N89</f>
        <v>0</v>
      </c>
      <c r="O91" s="541"/>
      <c r="P91" s="1246"/>
    </row>
    <row r="92" spans="1:16">
      <c r="B92" s="332"/>
      <c r="C92" s="687"/>
      <c r="D92" s="688"/>
      <c r="E92" s="672"/>
      <c r="F92" s="672"/>
      <c r="G92" s="689"/>
      <c r="H92" s="1245"/>
      <c r="I92" s="1245"/>
      <c r="J92" s="1246"/>
      <c r="K92" s="1245"/>
      <c r="L92" s="1245"/>
      <c r="M92" s="1245"/>
      <c r="N92" s="1245"/>
      <c r="O92" s="541"/>
      <c r="P92" s="1246"/>
    </row>
    <row r="93" spans="1:16" ht="13.5" thickBot="1">
      <c r="B93" s="332"/>
      <c r="C93" s="690"/>
      <c r="D93" s="691"/>
      <c r="E93" s="689"/>
      <c r="F93" s="689"/>
      <c r="G93" s="689"/>
      <c r="H93" s="689"/>
      <c r="I93" s="689"/>
      <c r="J93" s="692"/>
      <c r="K93" s="689"/>
      <c r="L93" s="689"/>
      <c r="M93" s="689"/>
      <c r="N93" s="689"/>
      <c r="O93" s="577"/>
      <c r="P93" s="692"/>
    </row>
    <row r="94" spans="1:16" ht="13.5" thickBot="1">
      <c r="B94" s="693"/>
      <c r="C94" s="694" t="s">
        <v>294</v>
      </c>
      <c r="D94" s="695"/>
      <c r="E94" s="695"/>
      <c r="F94" s="695"/>
      <c r="G94" s="695"/>
      <c r="H94" s="695"/>
      <c r="I94" s="696"/>
      <c r="J94" s="697"/>
      <c r="K94" s="541"/>
      <c r="L94" s="541"/>
      <c r="M94" s="541"/>
      <c r="N94" s="541"/>
      <c r="O94" s="698"/>
      <c r="P94" s="699"/>
    </row>
    <row r="95" spans="1:16" ht="15">
      <c r="B95" s="693"/>
      <c r="C95" s="700" t="s">
        <v>272</v>
      </c>
      <c r="D95" s="1256">
        <v>13789272</v>
      </c>
      <c r="E95" s="656" t="s">
        <v>273</v>
      </c>
      <c r="G95" s="701"/>
      <c r="H95" s="701"/>
      <c r="I95" s="702">
        <v>2018</v>
      </c>
      <c r="J95" s="587"/>
      <c r="K95" s="1542" t="s">
        <v>459</v>
      </c>
      <c r="L95" s="1542"/>
      <c r="M95" s="1542"/>
      <c r="N95" s="1542"/>
      <c r="O95" s="1542"/>
      <c r="P95" s="587"/>
    </row>
    <row r="96" spans="1:16">
      <c r="B96" s="693"/>
      <c r="C96" s="700" t="s">
        <v>275</v>
      </c>
      <c r="D96" s="872">
        <v>2008</v>
      </c>
      <c r="E96" s="700" t="s">
        <v>276</v>
      </c>
      <c r="F96" s="701"/>
      <c r="H96" s="332"/>
      <c r="I96" s="875">
        <f>IF(G89="",0,$F$15)</f>
        <v>0</v>
      </c>
      <c r="J96" s="703"/>
      <c r="K96" s="1246" t="s">
        <v>459</v>
      </c>
      <c r="P96" s="703"/>
    </row>
    <row r="97" spans="1:16">
      <c r="B97" s="693"/>
      <c r="C97" s="700" t="s">
        <v>277</v>
      </c>
      <c r="D97" s="1257">
        <v>6</v>
      </c>
      <c r="E97" s="700" t="s">
        <v>278</v>
      </c>
      <c r="F97" s="701"/>
      <c r="H97" s="332"/>
      <c r="I97" s="704">
        <f>$G$70</f>
        <v>0.1009634410531228</v>
      </c>
      <c r="J97" s="705"/>
      <c r="K97" s="332" t="str">
        <f>"          INPUT PROJECTED ARR (WITH &amp; WITHOUT INCENTIVES) FROM EACH PRIOR YEAR"</f>
        <v xml:space="preserve">          INPUT PROJECTED ARR (WITH &amp; WITHOUT INCENTIVES) FROM EACH PRIOR YEAR</v>
      </c>
      <c r="P97" s="705"/>
    </row>
    <row r="98" spans="1:16">
      <c r="B98" s="693"/>
      <c r="C98" s="700" t="s">
        <v>279</v>
      </c>
      <c r="D98" s="706">
        <f>G$79</f>
        <v>46</v>
      </c>
      <c r="E98" s="700" t="s">
        <v>280</v>
      </c>
      <c r="F98" s="701"/>
      <c r="H98" s="332"/>
      <c r="I98" s="704">
        <f>IF(G89="",I97,$G$67)</f>
        <v>0.1009634410531228</v>
      </c>
      <c r="J98" s="707"/>
      <c r="K98" s="332" t="s">
        <v>357</v>
      </c>
      <c r="P98" s="707"/>
    </row>
    <row r="99" spans="1:16" ht="13.5" thickBot="1">
      <c r="B99" s="693"/>
      <c r="C99" s="700" t="s">
        <v>281</v>
      </c>
      <c r="D99" s="874" t="s">
        <v>974</v>
      </c>
      <c r="E99" s="708" t="s">
        <v>282</v>
      </c>
      <c r="F99" s="709"/>
      <c r="G99" s="710"/>
      <c r="H99" s="710"/>
      <c r="I99" s="1255">
        <f>IF(D95=0,0,D95/D98)</f>
        <v>299766.78260869568</v>
      </c>
      <c r="J99" s="1246"/>
      <c r="K99" s="1246" t="s">
        <v>363</v>
      </c>
      <c r="L99" s="1246"/>
      <c r="M99" s="1246"/>
      <c r="N99" s="1246"/>
      <c r="O99" s="589"/>
      <c r="P99" s="1246"/>
    </row>
    <row r="100" spans="1:16" ht="51">
      <c r="A100" s="528"/>
      <c r="B100" s="528"/>
      <c r="C100" s="711" t="s">
        <v>272</v>
      </c>
      <c r="D100" s="1258" t="s">
        <v>283</v>
      </c>
      <c r="E100" s="1259" t="s">
        <v>284</v>
      </c>
      <c r="F100" s="1258" t="s">
        <v>285</v>
      </c>
      <c r="G100" s="1259" t="s">
        <v>356</v>
      </c>
      <c r="H100" s="1260" t="s">
        <v>356</v>
      </c>
      <c r="I100" s="711" t="s">
        <v>295</v>
      </c>
      <c r="J100" s="715"/>
      <c r="K100" s="1259" t="s">
        <v>365</v>
      </c>
      <c r="L100" s="1261"/>
      <c r="M100" s="1259" t="s">
        <v>365</v>
      </c>
      <c r="N100" s="1261"/>
      <c r="O100" s="1261"/>
      <c r="P100" s="716"/>
    </row>
    <row r="101" spans="1:16" ht="13.5" thickBot="1">
      <c r="B101" s="332"/>
      <c r="C101" s="717" t="s">
        <v>177</v>
      </c>
      <c r="D101" s="718" t="s">
        <v>178</v>
      </c>
      <c r="E101" s="717" t="s">
        <v>37</v>
      </c>
      <c r="F101" s="718" t="s">
        <v>178</v>
      </c>
      <c r="G101" s="1262" t="s">
        <v>298</v>
      </c>
      <c r="H101" s="1263" t="s">
        <v>300</v>
      </c>
      <c r="I101" s="721" t="s">
        <v>389</v>
      </c>
      <c r="J101" s="722"/>
      <c r="K101" s="1262" t="s">
        <v>287</v>
      </c>
      <c r="L101" s="1264"/>
      <c r="M101" s="1262" t="s">
        <v>300</v>
      </c>
      <c r="N101" s="1264"/>
      <c r="O101" s="1264"/>
      <c r="P101" s="587"/>
    </row>
    <row r="102" spans="1:16">
      <c r="B102" s="332"/>
      <c r="C102" s="723">
        <f>IF(D96= "","-",D96)</f>
        <v>2008</v>
      </c>
      <c r="D102" s="674">
        <f>+D95</f>
        <v>13789272</v>
      </c>
      <c r="E102" s="1265">
        <f>+I99/12*(12-D97)</f>
        <v>149883.39130434784</v>
      </c>
      <c r="F102" s="674">
        <f t="shared" ref="F102:F161" si="0">+D102-E102</f>
        <v>13639388.608695652</v>
      </c>
      <c r="G102" s="1266">
        <f>+$I$97*((D102+F102)/2)+E102</f>
        <v>1534529.3705704254</v>
      </c>
      <c r="H102" s="1267">
        <f>+$I$98*((D102+F102)/2)+E102</f>
        <v>1534529.3705704254</v>
      </c>
      <c r="I102" s="727">
        <f>+H102-G102</f>
        <v>0</v>
      </c>
      <c r="J102" s="727"/>
      <c r="K102" s="876"/>
      <c r="L102" s="729"/>
      <c r="M102" s="876"/>
      <c r="N102" s="729"/>
      <c r="O102" s="729"/>
      <c r="P102" s="675"/>
    </row>
    <row r="103" spans="1:16">
      <c r="B103" s="332"/>
      <c r="C103" s="723">
        <f>IF(D96="","-",+C102+1)</f>
        <v>2009</v>
      </c>
      <c r="D103" s="674">
        <f t="shared" ref="D103:D161" si="1">F102</f>
        <v>13639388.608695652</v>
      </c>
      <c r="E103" s="730">
        <f>IF(D103&gt;$I$99,$I$99,D103)</f>
        <v>299766.78260869568</v>
      </c>
      <c r="F103" s="674">
        <f t="shared" si="0"/>
        <v>13339621.826086957</v>
      </c>
      <c r="G103" s="1265">
        <f t="shared" ref="G103:G161" si="2">+$I$97*((D103+F103)/2)+E103</f>
        <v>1661713.6474605752</v>
      </c>
      <c r="H103" s="1268">
        <f t="shared" ref="H103:H161" si="3">+$I$98*((D103+F103)/2)+E103</f>
        <v>1661713.6474605752</v>
      </c>
      <c r="I103" s="727">
        <f t="shared" ref="I103:I161" si="4">+H103-G103</f>
        <v>0</v>
      </c>
      <c r="J103" s="727"/>
      <c r="K103" s="877">
        <v>1124469.1016438</v>
      </c>
      <c r="L103" s="733"/>
      <c r="M103" s="877">
        <v>1124469.1016438</v>
      </c>
      <c r="N103" s="733"/>
      <c r="O103" s="733"/>
      <c r="P103" s="675"/>
    </row>
    <row r="104" spans="1:16">
      <c r="B104" s="332"/>
      <c r="C104" s="723">
        <f>IF(D96="","-",+C103+1)</f>
        <v>2010</v>
      </c>
      <c r="D104" s="674">
        <f t="shared" si="1"/>
        <v>13339621.826086957</v>
      </c>
      <c r="E104" s="730">
        <f t="shared" ref="E104:E161" si="5">IF(D104&gt;$I$99,$I$99,D104)</f>
        <v>299766.78260869568</v>
      </c>
      <c r="F104" s="674">
        <f t="shared" si="0"/>
        <v>13039855.043478262</v>
      </c>
      <c r="G104" s="1265">
        <f t="shared" si="2"/>
        <v>1631448.1615749779</v>
      </c>
      <c r="H104" s="1268">
        <f t="shared" si="3"/>
        <v>1631448.1615749779</v>
      </c>
      <c r="I104" s="727">
        <f t="shared" si="4"/>
        <v>0</v>
      </c>
      <c r="J104" s="727"/>
      <c r="K104" s="877">
        <v>2027403</v>
      </c>
      <c r="L104" s="733"/>
      <c r="M104" s="877">
        <v>2027403</v>
      </c>
      <c r="N104" s="733"/>
      <c r="O104" s="733"/>
      <c r="P104" s="675"/>
    </row>
    <row r="105" spans="1:16">
      <c r="B105" s="332"/>
      <c r="C105" s="723">
        <f>IF(D96="","-",+C104+1)</f>
        <v>2011</v>
      </c>
      <c r="D105" s="674">
        <f t="shared" si="1"/>
        <v>13039855.043478262</v>
      </c>
      <c r="E105" s="730">
        <f t="shared" si="5"/>
        <v>299766.78260869568</v>
      </c>
      <c r="F105" s="674">
        <f t="shared" si="0"/>
        <v>12740088.260869566</v>
      </c>
      <c r="G105" s="1265">
        <f t="shared" si="2"/>
        <v>1601182.6756893806</v>
      </c>
      <c r="H105" s="1268">
        <f t="shared" si="3"/>
        <v>1601182.6756893806</v>
      </c>
      <c r="I105" s="727">
        <f t="shared" si="4"/>
        <v>0</v>
      </c>
      <c r="J105" s="727"/>
      <c r="K105" s="877">
        <v>2050107</v>
      </c>
      <c r="L105" s="733"/>
      <c r="M105" s="877">
        <v>2050107</v>
      </c>
      <c r="N105" s="733"/>
      <c r="O105" s="733"/>
      <c r="P105" s="675"/>
    </row>
    <row r="106" spans="1:16">
      <c r="B106" s="332"/>
      <c r="C106" s="723">
        <f>IF(D96="","-",+C105+1)</f>
        <v>2012</v>
      </c>
      <c r="D106" s="674">
        <f t="shared" si="1"/>
        <v>12740088.260869566</v>
      </c>
      <c r="E106" s="730">
        <f t="shared" si="5"/>
        <v>299766.78260869568</v>
      </c>
      <c r="F106" s="674">
        <f t="shared" si="0"/>
        <v>12440321.478260871</v>
      </c>
      <c r="G106" s="1265">
        <f t="shared" si="2"/>
        <v>1570917.1898037833</v>
      </c>
      <c r="H106" s="1268">
        <f t="shared" si="3"/>
        <v>1570917.1898037833</v>
      </c>
      <c r="I106" s="727">
        <f t="shared" si="4"/>
        <v>0</v>
      </c>
      <c r="J106" s="727"/>
      <c r="K106" s="877">
        <v>1906118.0340840491</v>
      </c>
      <c r="L106" s="733"/>
      <c r="M106" s="877">
        <v>1906118.0340840491</v>
      </c>
      <c r="N106" s="733"/>
      <c r="O106" s="733"/>
      <c r="P106" s="675"/>
    </row>
    <row r="107" spans="1:16">
      <c r="B107" s="332"/>
      <c r="C107" s="723">
        <f>IF(D96="","-",+C106+1)</f>
        <v>2013</v>
      </c>
      <c r="D107" s="674">
        <f t="shared" si="1"/>
        <v>12440321.478260871</v>
      </c>
      <c r="E107" s="730">
        <f t="shared" si="5"/>
        <v>299766.78260869568</v>
      </c>
      <c r="F107" s="674">
        <f t="shared" si="0"/>
        <v>12140554.695652176</v>
      </c>
      <c r="G107" s="1265">
        <f t="shared" si="2"/>
        <v>1540651.703918186</v>
      </c>
      <c r="H107" s="1268">
        <f t="shared" si="3"/>
        <v>1540651.703918186</v>
      </c>
      <c r="I107" s="727">
        <f t="shared" si="4"/>
        <v>0</v>
      </c>
      <c r="J107" s="727"/>
      <c r="K107" s="877">
        <v>1915150</v>
      </c>
      <c r="L107" s="733"/>
      <c r="M107" s="877">
        <v>1915150</v>
      </c>
      <c r="N107" s="733"/>
      <c r="O107" s="733"/>
      <c r="P107" s="675"/>
    </row>
    <row r="108" spans="1:16">
      <c r="B108" s="332"/>
      <c r="C108" s="723">
        <f>IF(D96="","-",+C107+1)</f>
        <v>2014</v>
      </c>
      <c r="D108" s="674">
        <f>F107</f>
        <v>12140554.695652176</v>
      </c>
      <c r="E108" s="730">
        <f t="shared" si="5"/>
        <v>299766.78260869568</v>
      </c>
      <c r="F108" s="674">
        <f t="shared" si="0"/>
        <v>11840787.91304348</v>
      </c>
      <c r="G108" s="1265">
        <f t="shared" si="2"/>
        <v>1510386.2180325887</v>
      </c>
      <c r="H108" s="1268">
        <f t="shared" si="3"/>
        <v>1510386.2180325887</v>
      </c>
      <c r="I108" s="727">
        <f t="shared" si="4"/>
        <v>0</v>
      </c>
      <c r="J108" s="727"/>
      <c r="K108" s="877">
        <v>1778172</v>
      </c>
      <c r="L108" s="733"/>
      <c r="M108" s="877">
        <v>1778172</v>
      </c>
      <c r="N108" s="733"/>
      <c r="O108" s="733"/>
      <c r="P108" s="675"/>
    </row>
    <row r="109" spans="1:16">
      <c r="B109" s="332"/>
      <c r="C109" s="723">
        <f>IF(D96="","-",+C108+1)</f>
        <v>2015</v>
      </c>
      <c r="D109" s="674">
        <f t="shared" si="1"/>
        <v>11840787.91304348</v>
      </c>
      <c r="E109" s="730">
        <f t="shared" si="5"/>
        <v>299766.78260869568</v>
      </c>
      <c r="F109" s="674">
        <f t="shared" si="0"/>
        <v>11541021.130434785</v>
      </c>
      <c r="G109" s="1265">
        <f t="shared" si="2"/>
        <v>1480120.7321469914</v>
      </c>
      <c r="H109" s="1268">
        <f t="shared" si="3"/>
        <v>1480120.7321469914</v>
      </c>
      <c r="I109" s="727">
        <f t="shared" si="4"/>
        <v>0</v>
      </c>
      <c r="J109" s="727"/>
      <c r="K109" s="877">
        <v>1790894</v>
      </c>
      <c r="L109" s="733"/>
      <c r="M109" s="877">
        <v>1790894</v>
      </c>
      <c r="N109" s="733"/>
      <c r="O109" s="733"/>
      <c r="P109" s="675"/>
    </row>
    <row r="110" spans="1:16">
      <c r="B110" s="332"/>
      <c r="C110" s="723">
        <f>IF(D96="","-",+C109+1)</f>
        <v>2016</v>
      </c>
      <c r="D110" s="674">
        <f t="shared" si="1"/>
        <v>11541021.130434785</v>
      </c>
      <c r="E110" s="730">
        <f t="shared" si="5"/>
        <v>299766.78260869568</v>
      </c>
      <c r="F110" s="674">
        <f t="shared" si="0"/>
        <v>11241254.34782609</v>
      </c>
      <c r="G110" s="1265">
        <f t="shared" si="2"/>
        <v>1449855.2462613941</v>
      </c>
      <c r="H110" s="1268">
        <f t="shared" si="3"/>
        <v>1449855.2462613941</v>
      </c>
      <c r="I110" s="727">
        <f t="shared" si="4"/>
        <v>0</v>
      </c>
      <c r="J110" s="727"/>
      <c r="K110" s="877">
        <v>1719834</v>
      </c>
      <c r="L110" s="733"/>
      <c r="M110" s="877">
        <v>1719834</v>
      </c>
      <c r="N110" s="733"/>
      <c r="O110" s="733"/>
      <c r="P110" s="675"/>
    </row>
    <row r="111" spans="1:16">
      <c r="B111" s="332"/>
      <c r="C111" s="723">
        <f>IF(D96="","-",+C110+1)</f>
        <v>2017</v>
      </c>
      <c r="D111" s="674">
        <f t="shared" si="1"/>
        <v>11241254.34782609</v>
      </c>
      <c r="E111" s="730">
        <f t="shared" si="5"/>
        <v>299766.78260869568</v>
      </c>
      <c r="F111" s="674">
        <f t="shared" si="0"/>
        <v>10941487.565217394</v>
      </c>
      <c r="G111" s="1265">
        <f t="shared" si="2"/>
        <v>1419589.7603757968</v>
      </c>
      <c r="H111" s="1268">
        <f t="shared" si="3"/>
        <v>1419589.7603757968</v>
      </c>
      <c r="I111" s="727">
        <f t="shared" si="4"/>
        <v>0</v>
      </c>
      <c r="J111" s="727"/>
      <c r="K111" s="877">
        <v>1790894</v>
      </c>
      <c r="L111" s="733"/>
      <c r="M111" s="877">
        <v>1790894</v>
      </c>
      <c r="N111" s="733"/>
      <c r="O111" s="733"/>
      <c r="P111" s="675"/>
    </row>
    <row r="112" spans="1:16">
      <c r="B112" s="332"/>
      <c r="C112" s="1269">
        <f>IF(D96="","-",+C111+1)</f>
        <v>2018</v>
      </c>
      <c r="D112" s="1270">
        <f t="shared" si="1"/>
        <v>10941487.565217394</v>
      </c>
      <c r="E112" s="1271">
        <f t="shared" si="5"/>
        <v>299766.78260869568</v>
      </c>
      <c r="F112" s="1270">
        <f t="shared" si="0"/>
        <v>10641720.782608699</v>
      </c>
      <c r="G112" s="1272">
        <f t="shared" si="2"/>
        <v>1389324.2744901995</v>
      </c>
      <c r="H112" s="1273">
        <f t="shared" si="3"/>
        <v>1389324.2744901995</v>
      </c>
      <c r="I112" s="727">
        <f t="shared" si="4"/>
        <v>0</v>
      </c>
      <c r="J112" s="727"/>
      <c r="K112" s="877"/>
      <c r="L112" s="733"/>
      <c r="M112" s="877"/>
      <c r="N112" s="733"/>
      <c r="O112" s="733"/>
      <c r="P112" s="675"/>
    </row>
    <row r="113" spans="2:16">
      <c r="B113" s="332"/>
      <c r="C113" s="723">
        <f>IF(D96="","-",+C112+1)</f>
        <v>2019</v>
      </c>
      <c r="D113" s="674">
        <f t="shared" si="1"/>
        <v>10641720.782608699</v>
      </c>
      <c r="E113" s="730">
        <f t="shared" si="5"/>
        <v>299766.78260869568</v>
      </c>
      <c r="F113" s="674">
        <f t="shared" si="0"/>
        <v>10341954.000000004</v>
      </c>
      <c r="G113" s="1265">
        <f t="shared" si="2"/>
        <v>1359058.7886046022</v>
      </c>
      <c r="H113" s="1268">
        <f t="shared" si="3"/>
        <v>1359058.7886046022</v>
      </c>
      <c r="I113" s="727">
        <f t="shared" si="4"/>
        <v>0</v>
      </c>
      <c r="J113" s="727"/>
      <c r="K113" s="877"/>
      <c r="L113" s="733"/>
      <c r="M113" s="877"/>
      <c r="N113" s="733"/>
      <c r="O113" s="733"/>
      <c r="P113" s="675"/>
    </row>
    <row r="114" spans="2:16">
      <c r="B114" s="332"/>
      <c r="C114" s="723">
        <f>IF(D96="","-",+C113+1)</f>
        <v>2020</v>
      </c>
      <c r="D114" s="674">
        <f t="shared" si="1"/>
        <v>10341954.000000004</v>
      </c>
      <c r="E114" s="730">
        <f t="shared" si="5"/>
        <v>299766.78260869568</v>
      </c>
      <c r="F114" s="674">
        <f t="shared" si="0"/>
        <v>10042187.217391308</v>
      </c>
      <c r="G114" s="1265">
        <f t="shared" si="2"/>
        <v>1328793.3027190049</v>
      </c>
      <c r="H114" s="1268">
        <f t="shared" si="3"/>
        <v>1328793.3027190049</v>
      </c>
      <c r="I114" s="727">
        <f t="shared" si="4"/>
        <v>0</v>
      </c>
      <c r="J114" s="727"/>
      <c r="K114" s="877"/>
      <c r="L114" s="733"/>
      <c r="M114" s="877"/>
      <c r="N114" s="734"/>
      <c r="O114" s="733"/>
      <c r="P114" s="675"/>
    </row>
    <row r="115" spans="2:16">
      <c r="B115" s="332"/>
      <c r="C115" s="723">
        <f>IF(D96="","-",+C114+1)</f>
        <v>2021</v>
      </c>
      <c r="D115" s="674">
        <f t="shared" si="1"/>
        <v>10042187.217391308</v>
      </c>
      <c r="E115" s="730">
        <f t="shared" si="5"/>
        <v>299766.78260869568</v>
      </c>
      <c r="F115" s="674">
        <f t="shared" si="0"/>
        <v>9742420.4347826131</v>
      </c>
      <c r="G115" s="1265">
        <f t="shared" si="2"/>
        <v>1298527.8168334076</v>
      </c>
      <c r="H115" s="1268">
        <f t="shared" si="3"/>
        <v>1298527.8168334076</v>
      </c>
      <c r="I115" s="727">
        <f t="shared" si="4"/>
        <v>0</v>
      </c>
      <c r="J115" s="727"/>
      <c r="K115" s="877"/>
      <c r="L115" s="733"/>
      <c r="M115" s="877"/>
      <c r="N115" s="733"/>
      <c r="O115" s="733"/>
      <c r="P115" s="675"/>
    </row>
    <row r="116" spans="2:16">
      <c r="B116" s="332"/>
      <c r="C116" s="723">
        <f>IF(D96="","-",+C115+1)</f>
        <v>2022</v>
      </c>
      <c r="D116" s="674">
        <f t="shared" si="1"/>
        <v>9742420.4347826131</v>
      </c>
      <c r="E116" s="730">
        <f t="shared" si="5"/>
        <v>299766.78260869568</v>
      </c>
      <c r="F116" s="674">
        <f t="shared" si="0"/>
        <v>9442653.6521739177</v>
      </c>
      <c r="G116" s="1265">
        <f t="shared" si="2"/>
        <v>1268262.3309478103</v>
      </c>
      <c r="H116" s="1268">
        <f t="shared" si="3"/>
        <v>1268262.3309478103</v>
      </c>
      <c r="I116" s="727">
        <f t="shared" si="4"/>
        <v>0</v>
      </c>
      <c r="J116" s="727"/>
      <c r="K116" s="877"/>
      <c r="L116" s="733"/>
      <c r="M116" s="877"/>
      <c r="N116" s="733"/>
      <c r="O116" s="733"/>
      <c r="P116" s="675"/>
    </row>
    <row r="117" spans="2:16">
      <c r="B117" s="332"/>
      <c r="C117" s="723">
        <f>IF(D96="","-",+C116+1)</f>
        <v>2023</v>
      </c>
      <c r="D117" s="674">
        <f t="shared" si="1"/>
        <v>9442653.6521739177</v>
      </c>
      <c r="E117" s="730">
        <f t="shared" si="5"/>
        <v>299766.78260869568</v>
      </c>
      <c r="F117" s="674">
        <f t="shared" si="0"/>
        <v>9142886.8695652224</v>
      </c>
      <c r="G117" s="1265">
        <f t="shared" si="2"/>
        <v>1237996.845062213</v>
      </c>
      <c r="H117" s="1268">
        <f t="shared" si="3"/>
        <v>1237996.845062213</v>
      </c>
      <c r="I117" s="727">
        <f t="shared" si="4"/>
        <v>0</v>
      </c>
      <c r="J117" s="727"/>
      <c r="K117" s="877"/>
      <c r="L117" s="733"/>
      <c r="M117" s="877"/>
      <c r="N117" s="733"/>
      <c r="O117" s="733"/>
      <c r="P117" s="675"/>
    </row>
    <row r="118" spans="2:16">
      <c r="B118" s="332"/>
      <c r="C118" s="723">
        <f>IF(D96="","-",+C117+1)</f>
        <v>2024</v>
      </c>
      <c r="D118" s="674">
        <f t="shared" si="1"/>
        <v>9142886.8695652224</v>
      </c>
      <c r="E118" s="730">
        <f t="shared" si="5"/>
        <v>299766.78260869568</v>
      </c>
      <c r="F118" s="674">
        <f t="shared" si="0"/>
        <v>8843120.0869565271</v>
      </c>
      <c r="G118" s="1265">
        <f t="shared" si="2"/>
        <v>1207731.3591766157</v>
      </c>
      <c r="H118" s="1268">
        <f t="shared" si="3"/>
        <v>1207731.3591766157</v>
      </c>
      <c r="I118" s="727">
        <f t="shared" si="4"/>
        <v>0</v>
      </c>
      <c r="J118" s="727"/>
      <c r="K118" s="877"/>
      <c r="L118" s="733"/>
      <c r="M118" s="877"/>
      <c r="N118" s="733"/>
      <c r="O118" s="733"/>
      <c r="P118" s="675"/>
    </row>
    <row r="119" spans="2:16">
      <c r="B119" s="332"/>
      <c r="C119" s="723">
        <f>IF(D96="","-",+C118+1)</f>
        <v>2025</v>
      </c>
      <c r="D119" s="674">
        <f t="shared" si="1"/>
        <v>8843120.0869565271</v>
      </c>
      <c r="E119" s="730">
        <f t="shared" si="5"/>
        <v>299766.78260869568</v>
      </c>
      <c r="F119" s="674">
        <f t="shared" si="0"/>
        <v>8543353.3043478318</v>
      </c>
      <c r="G119" s="1265">
        <f t="shared" si="2"/>
        <v>1177465.8732910184</v>
      </c>
      <c r="H119" s="1268">
        <f t="shared" si="3"/>
        <v>1177465.8732910184</v>
      </c>
      <c r="I119" s="727">
        <f t="shared" si="4"/>
        <v>0</v>
      </c>
      <c r="J119" s="727"/>
      <c r="K119" s="877"/>
      <c r="L119" s="733"/>
      <c r="M119" s="877"/>
      <c r="N119" s="733"/>
      <c r="O119" s="733"/>
      <c r="P119" s="675"/>
    </row>
    <row r="120" spans="2:16">
      <c r="B120" s="332"/>
      <c r="C120" s="723">
        <f>IF(D96="","-",+C119+1)</f>
        <v>2026</v>
      </c>
      <c r="D120" s="674">
        <f t="shared" si="1"/>
        <v>8543353.3043478318</v>
      </c>
      <c r="E120" s="730">
        <f t="shared" si="5"/>
        <v>299766.78260869568</v>
      </c>
      <c r="F120" s="674">
        <f t="shared" si="0"/>
        <v>8243586.5217391364</v>
      </c>
      <c r="G120" s="1265">
        <f t="shared" si="2"/>
        <v>1147200.3874054211</v>
      </c>
      <c r="H120" s="1268">
        <f t="shared" si="3"/>
        <v>1147200.3874054211</v>
      </c>
      <c r="I120" s="727">
        <f t="shared" si="4"/>
        <v>0</v>
      </c>
      <c r="J120" s="727"/>
      <c r="K120" s="877"/>
      <c r="L120" s="733"/>
      <c r="M120" s="877"/>
      <c r="N120" s="733"/>
      <c r="O120" s="733"/>
      <c r="P120" s="675"/>
    </row>
    <row r="121" spans="2:16">
      <c r="B121" s="332"/>
      <c r="C121" s="723">
        <f>IF(D96="","-",+C120+1)</f>
        <v>2027</v>
      </c>
      <c r="D121" s="674">
        <f t="shared" si="1"/>
        <v>8243586.5217391364</v>
      </c>
      <c r="E121" s="730">
        <f t="shared" si="5"/>
        <v>299766.78260869568</v>
      </c>
      <c r="F121" s="674">
        <f t="shared" si="0"/>
        <v>7943819.7391304411</v>
      </c>
      <c r="G121" s="1265">
        <f t="shared" si="2"/>
        <v>1116934.9015198238</v>
      </c>
      <c r="H121" s="1268">
        <f t="shared" si="3"/>
        <v>1116934.9015198238</v>
      </c>
      <c r="I121" s="727">
        <f t="shared" si="4"/>
        <v>0</v>
      </c>
      <c r="J121" s="727"/>
      <c r="K121" s="877"/>
      <c r="L121" s="733"/>
      <c r="M121" s="877"/>
      <c r="N121" s="733"/>
      <c r="O121" s="733"/>
      <c r="P121" s="675"/>
    </row>
    <row r="122" spans="2:16">
      <c r="B122" s="332"/>
      <c r="C122" s="723">
        <f>IF(D96="","-",+C121+1)</f>
        <v>2028</v>
      </c>
      <c r="D122" s="674">
        <f t="shared" si="1"/>
        <v>7943819.7391304411</v>
      </c>
      <c r="E122" s="730">
        <f t="shared" si="5"/>
        <v>299766.78260869568</v>
      </c>
      <c r="F122" s="674">
        <f t="shared" si="0"/>
        <v>7644052.9565217458</v>
      </c>
      <c r="G122" s="1265">
        <f t="shared" si="2"/>
        <v>1086669.4156342265</v>
      </c>
      <c r="H122" s="1268">
        <f t="shared" si="3"/>
        <v>1086669.4156342265</v>
      </c>
      <c r="I122" s="727">
        <f t="shared" si="4"/>
        <v>0</v>
      </c>
      <c r="J122" s="727"/>
      <c r="K122" s="877"/>
      <c r="L122" s="733"/>
      <c r="M122" s="877"/>
      <c r="N122" s="733"/>
      <c r="O122" s="733"/>
      <c r="P122" s="675"/>
    </row>
    <row r="123" spans="2:16">
      <c r="B123" s="332"/>
      <c r="C123" s="723">
        <f>IF(D96="","-",+C122+1)</f>
        <v>2029</v>
      </c>
      <c r="D123" s="674">
        <f t="shared" si="1"/>
        <v>7644052.9565217458</v>
      </c>
      <c r="E123" s="730">
        <f t="shared" si="5"/>
        <v>299766.78260869568</v>
      </c>
      <c r="F123" s="674">
        <f t="shared" si="0"/>
        <v>7344286.1739130504</v>
      </c>
      <c r="G123" s="1265">
        <f t="shared" si="2"/>
        <v>1056403.9297486292</v>
      </c>
      <c r="H123" s="1268">
        <f t="shared" si="3"/>
        <v>1056403.9297486292</v>
      </c>
      <c r="I123" s="727">
        <f t="shared" si="4"/>
        <v>0</v>
      </c>
      <c r="J123" s="727"/>
      <c r="K123" s="877"/>
      <c r="L123" s="733"/>
      <c r="M123" s="877"/>
      <c r="N123" s="733"/>
      <c r="O123" s="733"/>
      <c r="P123" s="675"/>
    </row>
    <row r="124" spans="2:16">
      <c r="B124" s="332"/>
      <c r="C124" s="723">
        <f>IF(D96="","-",+C123+1)</f>
        <v>2030</v>
      </c>
      <c r="D124" s="674">
        <f t="shared" si="1"/>
        <v>7344286.1739130504</v>
      </c>
      <c r="E124" s="730">
        <f t="shared" si="5"/>
        <v>299766.78260869568</v>
      </c>
      <c r="F124" s="674">
        <f t="shared" si="0"/>
        <v>7044519.3913043551</v>
      </c>
      <c r="G124" s="1265">
        <f t="shared" si="2"/>
        <v>1026138.443863032</v>
      </c>
      <c r="H124" s="1268">
        <f t="shared" si="3"/>
        <v>1026138.443863032</v>
      </c>
      <c r="I124" s="727">
        <f t="shared" si="4"/>
        <v>0</v>
      </c>
      <c r="J124" s="727"/>
      <c r="K124" s="877"/>
      <c r="L124" s="733"/>
      <c r="M124" s="877"/>
      <c r="N124" s="733"/>
      <c r="O124" s="733"/>
      <c r="P124" s="675"/>
    </row>
    <row r="125" spans="2:16">
      <c r="B125" s="332"/>
      <c r="C125" s="723">
        <f>IF(D96="","-",+C124+1)</f>
        <v>2031</v>
      </c>
      <c r="D125" s="674">
        <f t="shared" si="1"/>
        <v>7044519.3913043551</v>
      </c>
      <c r="E125" s="730">
        <f t="shared" si="5"/>
        <v>299766.78260869568</v>
      </c>
      <c r="F125" s="674">
        <f t="shared" si="0"/>
        <v>6744752.6086956598</v>
      </c>
      <c r="G125" s="1265">
        <f t="shared" si="2"/>
        <v>995872.95797743474</v>
      </c>
      <c r="H125" s="1268">
        <f t="shared" si="3"/>
        <v>995872.95797743474</v>
      </c>
      <c r="I125" s="727">
        <f t="shared" si="4"/>
        <v>0</v>
      </c>
      <c r="J125" s="727"/>
      <c r="K125" s="877"/>
      <c r="L125" s="733"/>
      <c r="M125" s="877"/>
      <c r="N125" s="733"/>
      <c r="O125" s="733"/>
      <c r="P125" s="675"/>
    </row>
    <row r="126" spans="2:16">
      <c r="B126" s="332"/>
      <c r="C126" s="723">
        <f>IF(D96="","-",+C125+1)</f>
        <v>2032</v>
      </c>
      <c r="D126" s="674">
        <f t="shared" si="1"/>
        <v>6744752.6086956598</v>
      </c>
      <c r="E126" s="730">
        <f t="shared" si="5"/>
        <v>299766.78260869568</v>
      </c>
      <c r="F126" s="674">
        <f t="shared" si="0"/>
        <v>6444985.8260869645</v>
      </c>
      <c r="G126" s="1265">
        <f t="shared" si="2"/>
        <v>965607.47209183755</v>
      </c>
      <c r="H126" s="1268">
        <f t="shared" si="3"/>
        <v>965607.47209183755</v>
      </c>
      <c r="I126" s="727">
        <f t="shared" si="4"/>
        <v>0</v>
      </c>
      <c r="J126" s="727"/>
      <c r="K126" s="877"/>
      <c r="L126" s="733"/>
      <c r="M126" s="877"/>
      <c r="N126" s="733"/>
      <c r="O126" s="733"/>
      <c r="P126" s="675"/>
    </row>
    <row r="127" spans="2:16">
      <c r="B127" s="332"/>
      <c r="C127" s="723">
        <f>IF(D96="","-",+C126+1)</f>
        <v>2033</v>
      </c>
      <c r="D127" s="674">
        <f t="shared" si="1"/>
        <v>6444985.8260869645</v>
      </c>
      <c r="E127" s="730">
        <f t="shared" si="5"/>
        <v>299766.78260869568</v>
      </c>
      <c r="F127" s="674">
        <f t="shared" si="0"/>
        <v>6145219.0434782691</v>
      </c>
      <c r="G127" s="1265">
        <f t="shared" si="2"/>
        <v>935341.98620624025</v>
      </c>
      <c r="H127" s="1268">
        <f t="shared" si="3"/>
        <v>935341.98620624025</v>
      </c>
      <c r="I127" s="727">
        <f t="shared" si="4"/>
        <v>0</v>
      </c>
      <c r="J127" s="727"/>
      <c r="K127" s="877"/>
      <c r="L127" s="733"/>
      <c r="M127" s="877"/>
      <c r="N127" s="733"/>
      <c r="O127" s="733"/>
      <c r="P127" s="675"/>
    </row>
    <row r="128" spans="2:16">
      <c r="B128" s="332"/>
      <c r="C128" s="723">
        <f>IF(D96="","-",+C127+1)</f>
        <v>2034</v>
      </c>
      <c r="D128" s="674">
        <f t="shared" si="1"/>
        <v>6145219.0434782691</v>
      </c>
      <c r="E128" s="730">
        <f t="shared" si="5"/>
        <v>299766.78260869568</v>
      </c>
      <c r="F128" s="674">
        <f t="shared" si="0"/>
        <v>5845452.2608695738</v>
      </c>
      <c r="G128" s="1265">
        <f t="shared" si="2"/>
        <v>905076.50032064295</v>
      </c>
      <c r="H128" s="1268">
        <f t="shared" si="3"/>
        <v>905076.50032064295</v>
      </c>
      <c r="I128" s="727">
        <f t="shared" si="4"/>
        <v>0</v>
      </c>
      <c r="J128" s="727"/>
      <c r="K128" s="877"/>
      <c r="L128" s="733"/>
      <c r="M128" s="877"/>
      <c r="N128" s="733"/>
      <c r="O128" s="733"/>
      <c r="P128" s="675"/>
    </row>
    <row r="129" spans="2:16">
      <c r="B129" s="332"/>
      <c r="C129" s="723">
        <f>IF(D96="","-",+C128+1)</f>
        <v>2035</v>
      </c>
      <c r="D129" s="674">
        <f t="shared" si="1"/>
        <v>5845452.2608695738</v>
      </c>
      <c r="E129" s="730">
        <f t="shared" si="5"/>
        <v>299766.78260869568</v>
      </c>
      <c r="F129" s="674">
        <f t="shared" si="0"/>
        <v>5545685.4782608785</v>
      </c>
      <c r="G129" s="1265">
        <f t="shared" si="2"/>
        <v>874811.01443504565</v>
      </c>
      <c r="H129" s="1268">
        <f t="shared" si="3"/>
        <v>874811.01443504565</v>
      </c>
      <c r="I129" s="727">
        <f t="shared" si="4"/>
        <v>0</v>
      </c>
      <c r="J129" s="727"/>
      <c r="K129" s="877"/>
      <c r="L129" s="733"/>
      <c r="M129" s="877"/>
      <c r="N129" s="733"/>
      <c r="O129" s="733"/>
      <c r="P129" s="675"/>
    </row>
    <row r="130" spans="2:16">
      <c r="B130" s="332"/>
      <c r="C130" s="723">
        <f>IF(D96="","-",+C129+1)</f>
        <v>2036</v>
      </c>
      <c r="D130" s="674">
        <f t="shared" si="1"/>
        <v>5545685.4782608785</v>
      </c>
      <c r="E130" s="730">
        <f t="shared" si="5"/>
        <v>299766.78260869568</v>
      </c>
      <c r="F130" s="674">
        <f t="shared" si="0"/>
        <v>5245918.6956521831</v>
      </c>
      <c r="G130" s="1274">
        <f t="shared" si="2"/>
        <v>844545.52854944835</v>
      </c>
      <c r="H130" s="1268">
        <f t="shared" si="3"/>
        <v>844545.52854944835</v>
      </c>
      <c r="I130" s="727">
        <f t="shared" si="4"/>
        <v>0</v>
      </c>
      <c r="J130" s="727"/>
      <c r="K130" s="877"/>
      <c r="L130" s="733"/>
      <c r="M130" s="877"/>
      <c r="N130" s="733"/>
      <c r="O130" s="733"/>
      <c r="P130" s="675"/>
    </row>
    <row r="131" spans="2:16">
      <c r="B131" s="332"/>
      <c r="C131" s="723">
        <f>IF(D96="","-",+C130+1)</f>
        <v>2037</v>
      </c>
      <c r="D131" s="674">
        <f t="shared" si="1"/>
        <v>5245918.6956521831</v>
      </c>
      <c r="E131" s="730">
        <f t="shared" si="5"/>
        <v>299766.78260869568</v>
      </c>
      <c r="F131" s="674">
        <f t="shared" si="0"/>
        <v>4946151.9130434878</v>
      </c>
      <c r="G131" s="1265">
        <f t="shared" si="2"/>
        <v>814280.04266385105</v>
      </c>
      <c r="H131" s="1268">
        <f t="shared" si="3"/>
        <v>814280.04266385105</v>
      </c>
      <c r="I131" s="727">
        <f t="shared" si="4"/>
        <v>0</v>
      </c>
      <c r="J131" s="727"/>
      <c r="K131" s="877"/>
      <c r="L131" s="733"/>
      <c r="M131" s="877"/>
      <c r="N131" s="733"/>
      <c r="O131" s="733"/>
      <c r="P131" s="675"/>
    </row>
    <row r="132" spans="2:16">
      <c r="B132" s="332"/>
      <c r="C132" s="723">
        <f>IF(D96="","-",+C131+1)</f>
        <v>2038</v>
      </c>
      <c r="D132" s="674">
        <f t="shared" si="1"/>
        <v>4946151.9130434878</v>
      </c>
      <c r="E132" s="730">
        <f t="shared" si="5"/>
        <v>299766.78260869568</v>
      </c>
      <c r="F132" s="674">
        <f t="shared" si="0"/>
        <v>4646385.1304347925</v>
      </c>
      <c r="G132" s="1265">
        <f t="shared" si="2"/>
        <v>784014.55677825375</v>
      </c>
      <c r="H132" s="1268">
        <f t="shared" si="3"/>
        <v>784014.55677825375</v>
      </c>
      <c r="I132" s="727">
        <f t="shared" si="4"/>
        <v>0</v>
      </c>
      <c r="J132" s="727"/>
      <c r="K132" s="877"/>
      <c r="L132" s="733"/>
      <c r="M132" s="877"/>
      <c r="N132" s="733"/>
      <c r="O132" s="733"/>
      <c r="P132" s="675"/>
    </row>
    <row r="133" spans="2:16">
      <c r="B133" s="332"/>
      <c r="C133" s="723">
        <f>IF(D96="","-",+C132+1)</f>
        <v>2039</v>
      </c>
      <c r="D133" s="674">
        <f t="shared" si="1"/>
        <v>4646385.1304347925</v>
      </c>
      <c r="E133" s="730">
        <f t="shared" si="5"/>
        <v>299766.78260869568</v>
      </c>
      <c r="F133" s="674">
        <f t="shared" si="0"/>
        <v>4346618.3478260972</v>
      </c>
      <c r="G133" s="1265">
        <f t="shared" si="2"/>
        <v>753749.07089265645</v>
      </c>
      <c r="H133" s="1268">
        <f t="shared" si="3"/>
        <v>753749.07089265645</v>
      </c>
      <c r="I133" s="727">
        <f t="shared" si="4"/>
        <v>0</v>
      </c>
      <c r="J133" s="727"/>
      <c r="K133" s="877"/>
      <c r="L133" s="733"/>
      <c r="M133" s="877"/>
      <c r="N133" s="733"/>
      <c r="O133" s="733"/>
      <c r="P133" s="675"/>
    </row>
    <row r="134" spans="2:16">
      <c r="B134" s="332"/>
      <c r="C134" s="723">
        <f>IF(D96="","-",+C133+1)</f>
        <v>2040</v>
      </c>
      <c r="D134" s="674">
        <f t="shared" si="1"/>
        <v>4346618.3478260972</v>
      </c>
      <c r="E134" s="730">
        <f t="shared" si="5"/>
        <v>299766.78260869568</v>
      </c>
      <c r="F134" s="674">
        <f t="shared" si="0"/>
        <v>4046851.5652174014</v>
      </c>
      <c r="G134" s="1265">
        <f t="shared" si="2"/>
        <v>723483.58500705916</v>
      </c>
      <c r="H134" s="1268">
        <f t="shared" si="3"/>
        <v>723483.58500705916</v>
      </c>
      <c r="I134" s="727">
        <f t="shared" si="4"/>
        <v>0</v>
      </c>
      <c r="J134" s="727"/>
      <c r="K134" s="877"/>
      <c r="L134" s="733"/>
      <c r="M134" s="877"/>
      <c r="N134" s="733"/>
      <c r="O134" s="733"/>
      <c r="P134" s="675"/>
    </row>
    <row r="135" spans="2:16">
      <c r="B135" s="332"/>
      <c r="C135" s="723">
        <f>IF(D96="","-",+C134+1)</f>
        <v>2041</v>
      </c>
      <c r="D135" s="674">
        <f t="shared" si="1"/>
        <v>4046851.5652174014</v>
      </c>
      <c r="E135" s="730">
        <f t="shared" si="5"/>
        <v>299766.78260869568</v>
      </c>
      <c r="F135" s="674">
        <f t="shared" si="0"/>
        <v>3747084.7826087056</v>
      </c>
      <c r="G135" s="1265">
        <f t="shared" si="2"/>
        <v>693218.09912146186</v>
      </c>
      <c r="H135" s="1268">
        <f t="shared" si="3"/>
        <v>693218.09912146186</v>
      </c>
      <c r="I135" s="727">
        <f t="shared" si="4"/>
        <v>0</v>
      </c>
      <c r="J135" s="727"/>
      <c r="K135" s="877"/>
      <c r="L135" s="733"/>
      <c r="M135" s="877"/>
      <c r="N135" s="733"/>
      <c r="O135" s="733"/>
      <c r="P135" s="675"/>
    </row>
    <row r="136" spans="2:16">
      <c r="B136" s="332"/>
      <c r="C136" s="723">
        <f>IF(D96="","-",+C135+1)</f>
        <v>2042</v>
      </c>
      <c r="D136" s="674">
        <f t="shared" si="1"/>
        <v>3747084.7826087056</v>
      </c>
      <c r="E136" s="730">
        <f t="shared" si="5"/>
        <v>299766.78260869568</v>
      </c>
      <c r="F136" s="674">
        <f t="shared" si="0"/>
        <v>3447318.0000000098</v>
      </c>
      <c r="G136" s="1265">
        <f t="shared" si="2"/>
        <v>662952.61323586456</v>
      </c>
      <c r="H136" s="1268">
        <f t="shared" si="3"/>
        <v>662952.61323586456</v>
      </c>
      <c r="I136" s="727">
        <f t="shared" si="4"/>
        <v>0</v>
      </c>
      <c r="J136" s="727"/>
      <c r="K136" s="877"/>
      <c r="L136" s="733"/>
      <c r="M136" s="877"/>
      <c r="N136" s="733"/>
      <c r="O136" s="733"/>
      <c r="P136" s="675"/>
    </row>
    <row r="137" spans="2:16">
      <c r="B137" s="332"/>
      <c r="C137" s="723">
        <f>IF(D96="","-",+C136+1)</f>
        <v>2043</v>
      </c>
      <c r="D137" s="674">
        <f t="shared" si="1"/>
        <v>3447318.0000000098</v>
      </c>
      <c r="E137" s="730">
        <f t="shared" si="5"/>
        <v>299766.78260869568</v>
      </c>
      <c r="F137" s="674">
        <f t="shared" si="0"/>
        <v>3147551.217391314</v>
      </c>
      <c r="G137" s="1265">
        <f t="shared" si="2"/>
        <v>632687.12735026714</v>
      </c>
      <c r="H137" s="1268">
        <f t="shared" si="3"/>
        <v>632687.12735026714</v>
      </c>
      <c r="I137" s="727">
        <f t="shared" si="4"/>
        <v>0</v>
      </c>
      <c r="J137" s="727"/>
      <c r="K137" s="877"/>
      <c r="L137" s="733"/>
      <c r="M137" s="877"/>
      <c r="N137" s="733"/>
      <c r="O137" s="733"/>
      <c r="P137" s="675"/>
    </row>
    <row r="138" spans="2:16">
      <c r="B138" s="332"/>
      <c r="C138" s="723">
        <f>IF(D96="","-",+C137+1)</f>
        <v>2044</v>
      </c>
      <c r="D138" s="674">
        <f t="shared" si="1"/>
        <v>3147551.217391314</v>
      </c>
      <c r="E138" s="730">
        <f t="shared" si="5"/>
        <v>299766.78260869568</v>
      </c>
      <c r="F138" s="674">
        <f t="shared" si="0"/>
        <v>2847784.4347826182</v>
      </c>
      <c r="G138" s="1265">
        <f t="shared" si="2"/>
        <v>602421.64146466984</v>
      </c>
      <c r="H138" s="1268">
        <f t="shared" si="3"/>
        <v>602421.64146466984</v>
      </c>
      <c r="I138" s="727">
        <f t="shared" si="4"/>
        <v>0</v>
      </c>
      <c r="J138" s="727"/>
      <c r="K138" s="877"/>
      <c r="L138" s="733"/>
      <c r="M138" s="877"/>
      <c r="N138" s="733"/>
      <c r="O138" s="733"/>
      <c r="P138" s="675"/>
    </row>
    <row r="139" spans="2:16">
      <c r="B139" s="332"/>
      <c r="C139" s="723">
        <f>IF(D96="","-",+C138+1)</f>
        <v>2045</v>
      </c>
      <c r="D139" s="674">
        <f t="shared" si="1"/>
        <v>2847784.4347826182</v>
      </c>
      <c r="E139" s="730">
        <f t="shared" si="5"/>
        <v>299766.78260869568</v>
      </c>
      <c r="F139" s="674">
        <f t="shared" si="0"/>
        <v>2548017.6521739224</v>
      </c>
      <c r="G139" s="1265">
        <f t="shared" si="2"/>
        <v>572156.15557907242</v>
      </c>
      <c r="H139" s="1268">
        <f t="shared" si="3"/>
        <v>572156.15557907242</v>
      </c>
      <c r="I139" s="727">
        <f t="shared" si="4"/>
        <v>0</v>
      </c>
      <c r="J139" s="727"/>
      <c r="K139" s="877"/>
      <c r="L139" s="733"/>
      <c r="M139" s="877"/>
      <c r="N139" s="733"/>
      <c r="O139" s="733"/>
      <c r="P139" s="675"/>
    </row>
    <row r="140" spans="2:16">
      <c r="B140" s="332"/>
      <c r="C140" s="723">
        <f>IF(D96="","-",+C139+1)</f>
        <v>2046</v>
      </c>
      <c r="D140" s="674">
        <f t="shared" si="1"/>
        <v>2548017.6521739224</v>
      </c>
      <c r="E140" s="730">
        <f t="shared" si="5"/>
        <v>299766.78260869568</v>
      </c>
      <c r="F140" s="674">
        <f t="shared" si="0"/>
        <v>2248250.8695652266</v>
      </c>
      <c r="G140" s="1265">
        <f t="shared" si="2"/>
        <v>541890.66969347524</v>
      </c>
      <c r="H140" s="1268">
        <f t="shared" si="3"/>
        <v>541890.66969347524</v>
      </c>
      <c r="I140" s="727">
        <f t="shared" si="4"/>
        <v>0</v>
      </c>
      <c r="J140" s="727"/>
      <c r="K140" s="877"/>
      <c r="L140" s="733"/>
      <c r="M140" s="877"/>
      <c r="N140" s="733"/>
      <c r="O140" s="733"/>
      <c r="P140" s="675"/>
    </row>
    <row r="141" spans="2:16">
      <c r="B141" s="332"/>
      <c r="C141" s="723">
        <f>IF(D96="","-",+C140+1)</f>
        <v>2047</v>
      </c>
      <c r="D141" s="674">
        <f t="shared" si="1"/>
        <v>2248250.8695652266</v>
      </c>
      <c r="E141" s="730">
        <f t="shared" si="5"/>
        <v>299766.78260869568</v>
      </c>
      <c r="F141" s="674">
        <f t="shared" si="0"/>
        <v>1948484.0869565308</v>
      </c>
      <c r="G141" s="1265">
        <f t="shared" si="2"/>
        <v>511625.18380787782</v>
      </c>
      <c r="H141" s="1268">
        <f t="shared" si="3"/>
        <v>511625.18380787782</v>
      </c>
      <c r="I141" s="727">
        <f t="shared" si="4"/>
        <v>0</v>
      </c>
      <c r="J141" s="727"/>
      <c r="K141" s="877"/>
      <c r="L141" s="733"/>
      <c r="M141" s="877"/>
      <c r="N141" s="733"/>
      <c r="O141" s="733"/>
      <c r="P141" s="675"/>
    </row>
    <row r="142" spans="2:16">
      <c r="B142" s="332"/>
      <c r="C142" s="723">
        <f>IF(D96="","-",+C141+1)</f>
        <v>2048</v>
      </c>
      <c r="D142" s="674">
        <f t="shared" si="1"/>
        <v>1948484.0869565308</v>
      </c>
      <c r="E142" s="730">
        <f t="shared" si="5"/>
        <v>299766.78260869568</v>
      </c>
      <c r="F142" s="674">
        <f t="shared" si="0"/>
        <v>1648717.304347835</v>
      </c>
      <c r="G142" s="1265">
        <f t="shared" si="2"/>
        <v>481359.69792228052</v>
      </c>
      <c r="H142" s="1268">
        <f t="shared" si="3"/>
        <v>481359.69792228052</v>
      </c>
      <c r="I142" s="727">
        <f t="shared" si="4"/>
        <v>0</v>
      </c>
      <c r="J142" s="727"/>
      <c r="K142" s="877"/>
      <c r="L142" s="733"/>
      <c r="M142" s="877"/>
      <c r="N142" s="733"/>
      <c r="O142" s="733"/>
      <c r="P142" s="675"/>
    </row>
    <row r="143" spans="2:16">
      <c r="B143" s="332"/>
      <c r="C143" s="723">
        <f>IF(D96="","-",+C142+1)</f>
        <v>2049</v>
      </c>
      <c r="D143" s="674">
        <f t="shared" si="1"/>
        <v>1648717.304347835</v>
      </c>
      <c r="E143" s="730">
        <f t="shared" si="5"/>
        <v>299766.78260869568</v>
      </c>
      <c r="F143" s="674">
        <f t="shared" si="0"/>
        <v>1348950.5217391392</v>
      </c>
      <c r="G143" s="1265">
        <f t="shared" si="2"/>
        <v>451094.21203668317</v>
      </c>
      <c r="H143" s="1268">
        <f t="shared" si="3"/>
        <v>451094.21203668317</v>
      </c>
      <c r="I143" s="727">
        <f t="shared" si="4"/>
        <v>0</v>
      </c>
      <c r="J143" s="727"/>
      <c r="K143" s="877"/>
      <c r="L143" s="733"/>
      <c r="M143" s="877"/>
      <c r="N143" s="733"/>
      <c r="O143" s="733"/>
      <c r="P143" s="675"/>
    </row>
    <row r="144" spans="2:16">
      <c r="B144" s="332"/>
      <c r="C144" s="723">
        <f>IF(D96="","-",+C143+1)</f>
        <v>2050</v>
      </c>
      <c r="D144" s="674">
        <f t="shared" si="1"/>
        <v>1348950.5217391392</v>
      </c>
      <c r="E144" s="730">
        <f t="shared" si="5"/>
        <v>299766.78260869568</v>
      </c>
      <c r="F144" s="674">
        <f t="shared" si="0"/>
        <v>1049183.7391304434</v>
      </c>
      <c r="G144" s="1265">
        <f t="shared" si="2"/>
        <v>420828.72615108581</v>
      </c>
      <c r="H144" s="1268">
        <f t="shared" si="3"/>
        <v>420828.72615108581</v>
      </c>
      <c r="I144" s="727">
        <f t="shared" si="4"/>
        <v>0</v>
      </c>
      <c r="J144" s="727"/>
      <c r="K144" s="877"/>
      <c r="L144" s="733"/>
      <c r="M144" s="877"/>
      <c r="N144" s="733"/>
      <c r="O144" s="733"/>
      <c r="P144" s="675"/>
    </row>
    <row r="145" spans="2:16">
      <c r="B145" s="332"/>
      <c r="C145" s="723">
        <f>IF(D96="","-",+C144+1)</f>
        <v>2051</v>
      </c>
      <c r="D145" s="674">
        <f t="shared" si="1"/>
        <v>1049183.7391304434</v>
      </c>
      <c r="E145" s="730">
        <f t="shared" si="5"/>
        <v>299766.78260869568</v>
      </c>
      <c r="F145" s="674">
        <f t="shared" si="0"/>
        <v>749416.95652174775</v>
      </c>
      <c r="G145" s="1265">
        <f t="shared" si="2"/>
        <v>390563.24026548851</v>
      </c>
      <c r="H145" s="1268">
        <f t="shared" si="3"/>
        <v>390563.24026548851</v>
      </c>
      <c r="I145" s="727">
        <f t="shared" si="4"/>
        <v>0</v>
      </c>
      <c r="J145" s="727"/>
      <c r="K145" s="877"/>
      <c r="L145" s="733"/>
      <c r="M145" s="877"/>
      <c r="N145" s="733"/>
      <c r="O145" s="733"/>
      <c r="P145" s="675"/>
    </row>
    <row r="146" spans="2:16">
      <c r="B146" s="332"/>
      <c r="C146" s="723">
        <f>IF(D96="","-",+C145+1)</f>
        <v>2052</v>
      </c>
      <c r="D146" s="674">
        <f t="shared" si="1"/>
        <v>749416.95652174775</v>
      </c>
      <c r="E146" s="730">
        <f t="shared" si="5"/>
        <v>299766.78260869568</v>
      </c>
      <c r="F146" s="674">
        <f t="shared" si="0"/>
        <v>449650.17391305207</v>
      </c>
      <c r="G146" s="1265">
        <f t="shared" si="2"/>
        <v>360297.75437989121</v>
      </c>
      <c r="H146" s="1268">
        <f t="shared" si="3"/>
        <v>360297.75437989121</v>
      </c>
      <c r="I146" s="727">
        <f t="shared" si="4"/>
        <v>0</v>
      </c>
      <c r="J146" s="727"/>
      <c r="K146" s="877"/>
      <c r="L146" s="733"/>
      <c r="M146" s="877"/>
      <c r="N146" s="733"/>
      <c r="O146" s="733"/>
      <c r="P146" s="675"/>
    </row>
    <row r="147" spans="2:16">
      <c r="B147" s="332"/>
      <c r="C147" s="723">
        <f>IF(D96="","-",+C146+1)</f>
        <v>2053</v>
      </c>
      <c r="D147" s="674">
        <f t="shared" si="1"/>
        <v>449650.17391305207</v>
      </c>
      <c r="E147" s="730">
        <f t="shared" si="5"/>
        <v>299766.78260869568</v>
      </c>
      <c r="F147" s="674">
        <f t="shared" si="0"/>
        <v>149883.3913043564</v>
      </c>
      <c r="G147" s="1265">
        <f t="shared" si="2"/>
        <v>330032.26849429385</v>
      </c>
      <c r="H147" s="1268">
        <f t="shared" si="3"/>
        <v>330032.26849429385</v>
      </c>
      <c r="I147" s="727">
        <f t="shared" si="4"/>
        <v>0</v>
      </c>
      <c r="J147" s="727"/>
      <c r="K147" s="877"/>
      <c r="L147" s="733"/>
      <c r="M147" s="877"/>
      <c r="N147" s="733"/>
      <c r="O147" s="733"/>
      <c r="P147" s="675"/>
    </row>
    <row r="148" spans="2:16">
      <c r="B148" s="332"/>
      <c r="C148" s="723">
        <f>IF(D96="","-",+C147+1)</f>
        <v>2054</v>
      </c>
      <c r="D148" s="674">
        <f t="shared" si="1"/>
        <v>149883.3913043564</v>
      </c>
      <c r="E148" s="730">
        <f t="shared" si="5"/>
        <v>149883.3913043564</v>
      </c>
      <c r="F148" s="674">
        <f t="shared" si="0"/>
        <v>0</v>
      </c>
      <c r="G148" s="1265">
        <f t="shared" si="2"/>
        <v>157449.76277575616</v>
      </c>
      <c r="H148" s="1268">
        <f t="shared" si="3"/>
        <v>157449.76277575616</v>
      </c>
      <c r="I148" s="727">
        <f t="shared" si="4"/>
        <v>0</v>
      </c>
      <c r="J148" s="727"/>
      <c r="K148" s="877"/>
      <c r="L148" s="733"/>
      <c r="M148" s="877"/>
      <c r="N148" s="733"/>
      <c r="O148" s="733"/>
      <c r="P148" s="675"/>
    </row>
    <row r="149" spans="2:16">
      <c r="B149" s="332"/>
      <c r="C149" s="723">
        <f>IF(D96="","-",+C148+1)</f>
        <v>2055</v>
      </c>
      <c r="D149" s="674">
        <f t="shared" si="1"/>
        <v>0</v>
      </c>
      <c r="E149" s="730">
        <f t="shared" si="5"/>
        <v>0</v>
      </c>
      <c r="F149" s="674">
        <f t="shared" si="0"/>
        <v>0</v>
      </c>
      <c r="G149" s="1265">
        <f t="shared" si="2"/>
        <v>0</v>
      </c>
      <c r="H149" s="1268">
        <f t="shared" si="3"/>
        <v>0</v>
      </c>
      <c r="I149" s="727">
        <f t="shared" si="4"/>
        <v>0</v>
      </c>
      <c r="J149" s="727"/>
      <c r="K149" s="877"/>
      <c r="L149" s="733"/>
      <c r="M149" s="877"/>
      <c r="N149" s="733"/>
      <c r="O149" s="733"/>
      <c r="P149" s="675"/>
    </row>
    <row r="150" spans="2:16">
      <c r="B150" s="332"/>
      <c r="C150" s="723">
        <f>IF(D96="","-",+C149+1)</f>
        <v>2056</v>
      </c>
      <c r="D150" s="674">
        <f t="shared" si="1"/>
        <v>0</v>
      </c>
      <c r="E150" s="730">
        <f t="shared" si="5"/>
        <v>0</v>
      </c>
      <c r="F150" s="674">
        <f t="shared" si="0"/>
        <v>0</v>
      </c>
      <c r="G150" s="1265">
        <f t="shared" si="2"/>
        <v>0</v>
      </c>
      <c r="H150" s="1268">
        <f t="shared" si="3"/>
        <v>0</v>
      </c>
      <c r="I150" s="727">
        <f t="shared" si="4"/>
        <v>0</v>
      </c>
      <c r="J150" s="727"/>
      <c r="K150" s="877"/>
      <c r="L150" s="733"/>
      <c r="M150" s="877"/>
      <c r="N150" s="733"/>
      <c r="O150" s="733"/>
      <c r="P150" s="675"/>
    </row>
    <row r="151" spans="2:16">
      <c r="B151" s="332"/>
      <c r="C151" s="723">
        <f>IF(D96="","-",+C150+1)</f>
        <v>2057</v>
      </c>
      <c r="D151" s="674">
        <f t="shared" si="1"/>
        <v>0</v>
      </c>
      <c r="E151" s="730">
        <f t="shared" si="5"/>
        <v>0</v>
      </c>
      <c r="F151" s="674">
        <f t="shared" si="0"/>
        <v>0</v>
      </c>
      <c r="G151" s="1265">
        <f t="shared" si="2"/>
        <v>0</v>
      </c>
      <c r="H151" s="1268">
        <f t="shared" si="3"/>
        <v>0</v>
      </c>
      <c r="I151" s="727">
        <f t="shared" si="4"/>
        <v>0</v>
      </c>
      <c r="J151" s="727"/>
      <c r="K151" s="877"/>
      <c r="L151" s="733"/>
      <c r="M151" s="877"/>
      <c r="N151" s="733"/>
      <c r="O151" s="733"/>
      <c r="P151" s="675"/>
    </row>
    <row r="152" spans="2:16">
      <c r="B152" s="332"/>
      <c r="C152" s="723">
        <f>IF(D96="","-",+C151+1)</f>
        <v>2058</v>
      </c>
      <c r="D152" s="674">
        <f t="shared" si="1"/>
        <v>0</v>
      </c>
      <c r="E152" s="730">
        <f t="shared" si="5"/>
        <v>0</v>
      </c>
      <c r="F152" s="674">
        <f t="shared" si="0"/>
        <v>0</v>
      </c>
      <c r="G152" s="1265">
        <f t="shared" si="2"/>
        <v>0</v>
      </c>
      <c r="H152" s="1268">
        <f t="shared" si="3"/>
        <v>0</v>
      </c>
      <c r="I152" s="727">
        <f t="shared" si="4"/>
        <v>0</v>
      </c>
      <c r="J152" s="727"/>
      <c r="K152" s="877"/>
      <c r="L152" s="733"/>
      <c r="M152" s="877"/>
      <c r="N152" s="733"/>
      <c r="O152" s="733"/>
      <c r="P152" s="675"/>
    </row>
    <row r="153" spans="2:16">
      <c r="B153" s="332"/>
      <c r="C153" s="723">
        <f>IF(D96="","-",+C152+1)</f>
        <v>2059</v>
      </c>
      <c r="D153" s="674">
        <f t="shared" si="1"/>
        <v>0</v>
      </c>
      <c r="E153" s="730">
        <f t="shared" si="5"/>
        <v>0</v>
      </c>
      <c r="F153" s="674">
        <f t="shared" si="0"/>
        <v>0</v>
      </c>
      <c r="G153" s="1265">
        <f t="shared" si="2"/>
        <v>0</v>
      </c>
      <c r="H153" s="1268">
        <f t="shared" si="3"/>
        <v>0</v>
      </c>
      <c r="I153" s="727">
        <f t="shared" si="4"/>
        <v>0</v>
      </c>
      <c r="J153" s="727"/>
      <c r="K153" s="877"/>
      <c r="L153" s="733"/>
      <c r="M153" s="877"/>
      <c r="N153" s="733"/>
      <c r="O153" s="733"/>
      <c r="P153" s="675"/>
    </row>
    <row r="154" spans="2:16">
      <c r="B154" s="332"/>
      <c r="C154" s="723">
        <f>IF(D96="","-",+C153+1)</f>
        <v>2060</v>
      </c>
      <c r="D154" s="674">
        <f t="shared" si="1"/>
        <v>0</v>
      </c>
      <c r="E154" s="730">
        <f t="shared" si="5"/>
        <v>0</v>
      </c>
      <c r="F154" s="674">
        <f t="shared" si="0"/>
        <v>0</v>
      </c>
      <c r="G154" s="1265">
        <f t="shared" si="2"/>
        <v>0</v>
      </c>
      <c r="H154" s="1268">
        <f t="shared" si="3"/>
        <v>0</v>
      </c>
      <c r="I154" s="727">
        <f t="shared" si="4"/>
        <v>0</v>
      </c>
      <c r="J154" s="727"/>
      <c r="K154" s="877"/>
      <c r="L154" s="733"/>
      <c r="M154" s="877"/>
      <c r="N154" s="733"/>
      <c r="O154" s="733"/>
      <c r="P154" s="675"/>
    </row>
    <row r="155" spans="2:16">
      <c r="B155" s="332"/>
      <c r="C155" s="723">
        <f>IF(D96="","-",+C154+1)</f>
        <v>2061</v>
      </c>
      <c r="D155" s="674">
        <f t="shared" si="1"/>
        <v>0</v>
      </c>
      <c r="E155" s="730">
        <f t="shared" si="5"/>
        <v>0</v>
      </c>
      <c r="F155" s="674">
        <f t="shared" si="0"/>
        <v>0</v>
      </c>
      <c r="G155" s="1265">
        <f t="shared" si="2"/>
        <v>0</v>
      </c>
      <c r="H155" s="1268">
        <f t="shared" si="3"/>
        <v>0</v>
      </c>
      <c r="I155" s="727">
        <f t="shared" si="4"/>
        <v>0</v>
      </c>
      <c r="J155" s="727"/>
      <c r="K155" s="877"/>
      <c r="L155" s="733"/>
      <c r="M155" s="877"/>
      <c r="N155" s="733"/>
      <c r="O155" s="733"/>
      <c r="P155" s="675"/>
    </row>
    <row r="156" spans="2:16">
      <c r="B156" s="332"/>
      <c r="C156" s="723">
        <f>IF(D96="","-",+C155+1)</f>
        <v>2062</v>
      </c>
      <c r="D156" s="674">
        <f t="shared" si="1"/>
        <v>0</v>
      </c>
      <c r="E156" s="730">
        <f t="shared" si="5"/>
        <v>0</v>
      </c>
      <c r="F156" s="674">
        <f t="shared" si="0"/>
        <v>0</v>
      </c>
      <c r="G156" s="1265">
        <f t="shared" si="2"/>
        <v>0</v>
      </c>
      <c r="H156" s="1268">
        <f t="shared" si="3"/>
        <v>0</v>
      </c>
      <c r="I156" s="727">
        <f t="shared" si="4"/>
        <v>0</v>
      </c>
      <c r="J156" s="727"/>
      <c r="K156" s="877"/>
      <c r="L156" s="733"/>
      <c r="M156" s="877"/>
      <c r="N156" s="733"/>
      <c r="O156" s="733"/>
      <c r="P156" s="675"/>
    </row>
    <row r="157" spans="2:16">
      <c r="B157" s="332"/>
      <c r="C157" s="723">
        <f>IF(D96="","-",+C156+1)</f>
        <v>2063</v>
      </c>
      <c r="D157" s="674">
        <f t="shared" si="1"/>
        <v>0</v>
      </c>
      <c r="E157" s="730">
        <f t="shared" si="5"/>
        <v>0</v>
      </c>
      <c r="F157" s="674">
        <f t="shared" si="0"/>
        <v>0</v>
      </c>
      <c r="G157" s="1265">
        <f t="shared" si="2"/>
        <v>0</v>
      </c>
      <c r="H157" s="1268">
        <f t="shared" si="3"/>
        <v>0</v>
      </c>
      <c r="I157" s="727">
        <f t="shared" si="4"/>
        <v>0</v>
      </c>
      <c r="J157" s="727"/>
      <c r="K157" s="877"/>
      <c r="L157" s="733"/>
      <c r="M157" s="877"/>
      <c r="N157" s="733"/>
      <c r="O157" s="733"/>
      <c r="P157" s="675"/>
    </row>
    <row r="158" spans="2:16">
      <c r="B158" s="332"/>
      <c r="C158" s="723">
        <f>IF(D96="","-",+C157+1)</f>
        <v>2064</v>
      </c>
      <c r="D158" s="674">
        <f t="shared" si="1"/>
        <v>0</v>
      </c>
      <c r="E158" s="730">
        <f t="shared" si="5"/>
        <v>0</v>
      </c>
      <c r="F158" s="674">
        <f t="shared" si="0"/>
        <v>0</v>
      </c>
      <c r="G158" s="1265">
        <f t="shared" si="2"/>
        <v>0</v>
      </c>
      <c r="H158" s="1268">
        <f t="shared" si="3"/>
        <v>0</v>
      </c>
      <c r="I158" s="727">
        <f t="shared" si="4"/>
        <v>0</v>
      </c>
      <c r="J158" s="727"/>
      <c r="K158" s="877"/>
      <c r="L158" s="733"/>
      <c r="M158" s="877"/>
      <c r="N158" s="733"/>
      <c r="O158" s="733"/>
      <c r="P158" s="675"/>
    </row>
    <row r="159" spans="2:16">
      <c r="B159" s="332"/>
      <c r="C159" s="723">
        <f>IF(D96="","-",+C158+1)</f>
        <v>2065</v>
      </c>
      <c r="D159" s="674">
        <f t="shared" si="1"/>
        <v>0</v>
      </c>
      <c r="E159" s="730">
        <f t="shared" si="5"/>
        <v>0</v>
      </c>
      <c r="F159" s="674">
        <f t="shared" si="0"/>
        <v>0</v>
      </c>
      <c r="G159" s="1265">
        <f t="shared" si="2"/>
        <v>0</v>
      </c>
      <c r="H159" s="1268">
        <f t="shared" si="3"/>
        <v>0</v>
      </c>
      <c r="I159" s="727">
        <f t="shared" si="4"/>
        <v>0</v>
      </c>
      <c r="J159" s="727"/>
      <c r="K159" s="877"/>
      <c r="L159" s="733"/>
      <c r="M159" s="877"/>
      <c r="N159" s="733"/>
      <c r="O159" s="733"/>
      <c r="P159" s="675"/>
    </row>
    <row r="160" spans="2:16">
      <c r="B160" s="332"/>
      <c r="C160" s="723">
        <f>IF(D96="","-",+C159+1)</f>
        <v>2066</v>
      </c>
      <c r="D160" s="674">
        <f t="shared" si="1"/>
        <v>0</v>
      </c>
      <c r="E160" s="730">
        <f t="shared" si="5"/>
        <v>0</v>
      </c>
      <c r="F160" s="674">
        <f t="shared" si="0"/>
        <v>0</v>
      </c>
      <c r="G160" s="1265">
        <f t="shared" si="2"/>
        <v>0</v>
      </c>
      <c r="H160" s="1268">
        <f t="shared" si="3"/>
        <v>0</v>
      </c>
      <c r="I160" s="727">
        <f t="shared" si="4"/>
        <v>0</v>
      </c>
      <c r="J160" s="727"/>
      <c r="K160" s="877"/>
      <c r="L160" s="733"/>
      <c r="M160" s="877"/>
      <c r="N160" s="733"/>
      <c r="O160" s="733"/>
      <c r="P160" s="675"/>
    </row>
    <row r="161" spans="1:16" ht="13.5" thickBot="1">
      <c r="B161" s="332"/>
      <c r="C161" s="735">
        <f>IF(D96="","-",+C160+1)</f>
        <v>2067</v>
      </c>
      <c r="D161" s="736">
        <f t="shared" si="1"/>
        <v>0</v>
      </c>
      <c r="E161" s="737">
        <f t="shared" si="5"/>
        <v>0</v>
      </c>
      <c r="F161" s="736">
        <f t="shared" si="0"/>
        <v>0</v>
      </c>
      <c r="G161" s="1275">
        <f t="shared" si="2"/>
        <v>0</v>
      </c>
      <c r="H161" s="1275">
        <f t="shared" si="3"/>
        <v>0</v>
      </c>
      <c r="I161" s="739">
        <f t="shared" si="4"/>
        <v>0</v>
      </c>
      <c r="J161" s="727"/>
      <c r="K161" s="878"/>
      <c r="L161" s="741"/>
      <c r="M161" s="878"/>
      <c r="N161" s="741"/>
      <c r="O161" s="741"/>
      <c r="P161" s="675"/>
    </row>
    <row r="162" spans="1:16">
      <c r="B162" s="332"/>
      <c r="C162" s="674" t="s">
        <v>288</v>
      </c>
      <c r="D162" s="1246"/>
      <c r="E162" s="1246">
        <f>SUM(E102:E161)</f>
        <v>13789272.000000002</v>
      </c>
      <c r="F162" s="1246"/>
      <c r="G162" s="1246">
        <f>SUM(G102:G161)</f>
        <v>46506262.242330737</v>
      </c>
      <c r="H162" s="1246">
        <f>SUM(H102:H161)</f>
        <v>46506262.242330737</v>
      </c>
      <c r="I162" s="1246">
        <f>SUM(I102:I161)</f>
        <v>0</v>
      </c>
      <c r="J162" s="1246"/>
      <c r="K162" s="1246"/>
      <c r="L162" s="1246"/>
      <c r="M162" s="1246"/>
      <c r="N162" s="1246"/>
      <c r="O162" s="541"/>
      <c r="P162" s="1246"/>
    </row>
    <row r="163" spans="1:16">
      <c r="B163" s="332"/>
      <c r="D163" s="564"/>
      <c r="E163" s="541"/>
      <c r="F163" s="541"/>
      <c r="G163" s="541"/>
      <c r="H163" s="1245"/>
      <c r="I163" s="1245"/>
      <c r="J163" s="1246"/>
      <c r="K163" s="1245"/>
      <c r="L163" s="1245"/>
      <c r="M163" s="1245"/>
      <c r="N163" s="1245"/>
      <c r="O163" s="541"/>
      <c r="P163" s="1246"/>
    </row>
    <row r="164" spans="1:16">
      <c r="B164" s="332"/>
      <c r="C164" s="541" t="s">
        <v>601</v>
      </c>
      <c r="D164" s="564"/>
      <c r="E164" s="541"/>
      <c r="F164" s="541"/>
      <c r="G164" s="541"/>
      <c r="H164" s="1245"/>
      <c r="I164" s="1245"/>
      <c r="J164" s="1246"/>
      <c r="K164" s="1245"/>
      <c r="L164" s="1245"/>
      <c r="M164" s="1245"/>
      <c r="N164" s="1245"/>
      <c r="O164" s="541"/>
      <c r="P164" s="1246"/>
    </row>
    <row r="165" spans="1:16">
      <c r="B165" s="332"/>
      <c r="D165" s="564"/>
      <c r="E165" s="541"/>
      <c r="F165" s="541"/>
      <c r="G165" s="541"/>
      <c r="H165" s="1245"/>
      <c r="I165" s="1245"/>
      <c r="J165" s="1246"/>
      <c r="K165" s="1245"/>
      <c r="L165" s="1245"/>
      <c r="M165" s="1245"/>
      <c r="N165" s="1245"/>
      <c r="O165" s="541"/>
      <c r="P165" s="1246"/>
    </row>
    <row r="166" spans="1:16">
      <c r="B166" s="332"/>
      <c r="C166" s="577" t="s">
        <v>602</v>
      </c>
      <c r="D166" s="674"/>
      <c r="E166" s="674"/>
      <c r="F166" s="674"/>
      <c r="G166" s="1246"/>
      <c r="H166" s="1246"/>
      <c r="I166" s="675"/>
      <c r="J166" s="675"/>
      <c r="K166" s="675"/>
      <c r="L166" s="675"/>
      <c r="M166" s="675"/>
      <c r="N166" s="675"/>
      <c r="O166" s="541"/>
      <c r="P166" s="675"/>
    </row>
    <row r="167" spans="1:16">
      <c r="B167" s="332"/>
      <c r="C167" s="577" t="s">
        <v>476</v>
      </c>
      <c r="D167" s="674"/>
      <c r="E167" s="674"/>
      <c r="F167" s="674"/>
      <c r="G167" s="1246"/>
      <c r="H167" s="1246"/>
      <c r="I167" s="675"/>
      <c r="J167" s="675"/>
      <c r="K167" s="675"/>
      <c r="L167" s="675"/>
      <c r="M167" s="675"/>
      <c r="N167" s="675"/>
      <c r="O167" s="541"/>
      <c r="P167" s="675"/>
    </row>
    <row r="168" spans="1:16">
      <c r="B168" s="332"/>
      <c r="C168" s="577" t="s">
        <v>289</v>
      </c>
      <c r="D168" s="674"/>
      <c r="E168" s="674"/>
      <c r="F168" s="674"/>
      <c r="G168" s="1246"/>
      <c r="H168" s="1246"/>
      <c r="I168" s="675"/>
      <c r="J168" s="675"/>
      <c r="K168" s="675"/>
      <c r="L168" s="675"/>
      <c r="M168" s="675"/>
      <c r="N168" s="675"/>
      <c r="O168" s="541"/>
      <c r="P168" s="675"/>
    </row>
    <row r="169" spans="1:16">
      <c r="B169" s="332"/>
      <c r="C169" s="673"/>
      <c r="D169" s="674"/>
      <c r="E169" s="674"/>
      <c r="F169" s="674"/>
      <c r="G169" s="1246"/>
      <c r="H169" s="1246"/>
      <c r="I169" s="675"/>
      <c r="J169" s="675"/>
      <c r="K169" s="675"/>
      <c r="L169" s="675"/>
      <c r="M169" s="675"/>
      <c r="N169" s="675"/>
      <c r="O169" s="541"/>
      <c r="P169" s="675"/>
    </row>
    <row r="170" spans="1:16">
      <c r="B170" s="332"/>
      <c r="C170" s="1543" t="s">
        <v>460</v>
      </c>
      <c r="D170" s="1543"/>
      <c r="E170" s="1543"/>
      <c r="F170" s="1543"/>
      <c r="G170" s="1543"/>
      <c r="H170" s="1543"/>
      <c r="I170" s="1543"/>
      <c r="J170" s="1543"/>
      <c r="K170" s="1543"/>
      <c r="L170" s="1543"/>
      <c r="M170" s="1543"/>
      <c r="N170" s="1543"/>
      <c r="O170" s="1543"/>
    </row>
    <row r="171" spans="1:16">
      <c r="B171" s="332"/>
      <c r="C171" s="1543"/>
      <c r="D171" s="1543"/>
      <c r="E171" s="1543"/>
      <c r="F171" s="1543"/>
      <c r="G171" s="1543"/>
      <c r="H171" s="1543"/>
      <c r="I171" s="1543"/>
      <c r="J171" s="1543"/>
      <c r="K171" s="1543"/>
      <c r="L171" s="1543"/>
      <c r="M171" s="1543"/>
      <c r="N171" s="1543"/>
      <c r="O171" s="1543"/>
    </row>
    <row r="172" spans="1:16">
      <c r="B172" s="332"/>
      <c r="H172" s="1276"/>
    </row>
    <row r="173" spans="1:16" ht="20.25">
      <c r="A173" s="676" t="s">
        <v>972</v>
      </c>
      <c r="B173" s="541"/>
      <c r="C173" s="656"/>
      <c r="D173" s="564"/>
      <c r="E173" s="541"/>
      <c r="F173" s="646"/>
      <c r="G173" s="541"/>
      <c r="H173" s="1245"/>
      <c r="K173" s="677"/>
      <c r="L173" s="677"/>
      <c r="M173" s="677"/>
      <c r="N173" s="592" t="str">
        <f>"Page "&amp;SUM(P$6:P173)&amp;" of "</f>
        <v xml:space="preserve">Page 3 of </v>
      </c>
      <c r="O173" s="593">
        <f>COUNT(P$6:P$59606)</f>
        <v>14</v>
      </c>
      <c r="P173" s="668">
        <v>1</v>
      </c>
    </row>
    <row r="174" spans="1:16">
      <c r="B174" s="541"/>
      <c r="C174" s="541"/>
      <c r="D174" s="564"/>
      <c r="E174" s="541"/>
      <c r="F174" s="541"/>
      <c r="G174" s="541"/>
      <c r="H174" s="1245"/>
      <c r="I174" s="541"/>
      <c r="J174" s="589"/>
      <c r="K174" s="541"/>
      <c r="L174" s="541"/>
      <c r="M174" s="541"/>
      <c r="N174" s="541"/>
      <c r="O174" s="541"/>
      <c r="P174" s="589"/>
    </row>
    <row r="175" spans="1:16" ht="18">
      <c r="B175" s="596" t="s">
        <v>174</v>
      </c>
      <c r="C175" s="678" t="s">
        <v>290</v>
      </c>
      <c r="D175" s="564"/>
      <c r="E175" s="541"/>
      <c r="F175" s="541"/>
      <c r="G175" s="541"/>
      <c r="H175" s="1245"/>
      <c r="I175" s="1245"/>
      <c r="J175" s="1246"/>
      <c r="K175" s="1245"/>
      <c r="L175" s="1245"/>
      <c r="M175" s="1245"/>
      <c r="N175" s="1245"/>
      <c r="O175" s="541"/>
      <c r="P175" s="1246"/>
    </row>
    <row r="176" spans="1:16" ht="18.75">
      <c r="B176" s="596"/>
      <c r="C176" s="595"/>
      <c r="D176" s="564"/>
      <c r="E176" s="541"/>
      <c r="F176" s="541"/>
      <c r="G176" s="541"/>
      <c r="H176" s="1245"/>
      <c r="I176" s="1245"/>
      <c r="J176" s="1246"/>
      <c r="K176" s="1245"/>
      <c r="L176" s="1245"/>
      <c r="M176" s="1245"/>
      <c r="N176" s="1245"/>
      <c r="O176" s="541"/>
      <c r="P176" s="1246"/>
    </row>
    <row r="177" spans="1:16" ht="18.75">
      <c r="B177" s="596"/>
      <c r="C177" s="595" t="s">
        <v>291</v>
      </c>
      <c r="D177" s="564"/>
      <c r="E177" s="541"/>
      <c r="F177" s="541"/>
      <c r="G177" s="541"/>
      <c r="H177" s="1245"/>
      <c r="I177" s="1245"/>
      <c r="J177" s="1246"/>
      <c r="K177" s="1245"/>
      <c r="L177" s="1245"/>
      <c r="M177" s="1245"/>
      <c r="N177" s="1245"/>
      <c r="O177" s="541"/>
      <c r="P177" s="1246"/>
    </row>
    <row r="178" spans="1:16" ht="15.75" thickBot="1">
      <c r="B178" s="332"/>
      <c r="C178" s="398"/>
      <c r="D178" s="564"/>
      <c r="E178" s="541"/>
      <c r="F178" s="541"/>
      <c r="G178" s="541"/>
      <c r="H178" s="1245"/>
      <c r="I178" s="1245"/>
      <c r="J178" s="1246"/>
      <c r="K178" s="1245"/>
      <c r="L178" s="1245"/>
      <c r="M178" s="1245"/>
      <c r="N178" s="1245"/>
      <c r="O178" s="541"/>
      <c r="P178" s="1246"/>
    </row>
    <row r="179" spans="1:16" ht="15.75">
      <c r="B179" s="332"/>
      <c r="C179" s="597" t="s">
        <v>292</v>
      </c>
      <c r="D179" s="564"/>
      <c r="E179" s="541"/>
      <c r="F179" s="541"/>
      <c r="G179" s="1247"/>
      <c r="H179" s="541" t="s">
        <v>271</v>
      </c>
      <c r="I179" s="541"/>
      <c r="J179" s="589"/>
      <c r="K179" s="679" t="s">
        <v>296</v>
      </c>
      <c r="L179" s="680"/>
      <c r="M179" s="681"/>
      <c r="N179" s="1248">
        <f>VLOOKUP(I185,C192:O251,5)</f>
        <v>263144.67327192432</v>
      </c>
      <c r="O179" s="541"/>
      <c r="P179" s="589"/>
    </row>
    <row r="180" spans="1:16" ht="15.75">
      <c r="B180" s="332"/>
      <c r="C180" s="597"/>
      <c r="D180" s="564"/>
      <c r="E180" s="541"/>
      <c r="F180" s="541"/>
      <c r="G180" s="541"/>
      <c r="H180" s="1249"/>
      <c r="I180" s="1249"/>
      <c r="J180" s="1250"/>
      <c r="K180" s="684" t="s">
        <v>297</v>
      </c>
      <c r="L180" s="1251"/>
      <c r="M180" s="589"/>
      <c r="N180" s="1252">
        <f>VLOOKUP(I185,C192:O251,6)</f>
        <v>263144.67327192432</v>
      </c>
      <c r="O180" s="541"/>
      <c r="P180" s="1250"/>
    </row>
    <row r="181" spans="1:16" ht="13.5" thickBot="1">
      <c r="B181" s="332"/>
      <c r="C181" s="685" t="s">
        <v>293</v>
      </c>
      <c r="D181" s="1544" t="s">
        <v>975</v>
      </c>
      <c r="E181" s="1544"/>
      <c r="F181" s="1544"/>
      <c r="G181" s="1544"/>
      <c r="H181" s="1245"/>
      <c r="I181" s="1245"/>
      <c r="J181" s="1246"/>
      <c r="K181" s="1253" t="s">
        <v>450</v>
      </c>
      <c r="L181" s="1254"/>
      <c r="M181" s="1254"/>
      <c r="N181" s="1255">
        <f>+N180-N179</f>
        <v>0</v>
      </c>
      <c r="O181" s="541"/>
      <c r="P181" s="1246"/>
    </row>
    <row r="182" spans="1:16">
      <c r="B182" s="332"/>
      <c r="C182" s="687"/>
      <c r="D182" s="688"/>
      <c r="E182" s="672"/>
      <c r="F182" s="672"/>
      <c r="G182" s="689"/>
      <c r="H182" s="1245"/>
      <c r="I182" s="1245"/>
      <c r="J182" s="1246"/>
      <c r="K182" s="1245"/>
      <c r="L182" s="1245"/>
      <c r="M182" s="1245"/>
      <c r="N182" s="1245"/>
      <c r="O182" s="541"/>
      <c r="P182" s="1246"/>
    </row>
    <row r="183" spans="1:16" ht="13.5" thickBot="1">
      <c r="B183" s="332"/>
      <c r="C183" s="690"/>
      <c r="D183" s="691"/>
      <c r="E183" s="689"/>
      <c r="F183" s="689"/>
      <c r="G183" s="689"/>
      <c r="H183" s="689"/>
      <c r="I183" s="689"/>
      <c r="J183" s="692"/>
      <c r="K183" s="689"/>
      <c r="L183" s="689"/>
      <c r="M183" s="689"/>
      <c r="N183" s="689"/>
      <c r="O183" s="577"/>
      <c r="P183" s="692"/>
    </row>
    <row r="184" spans="1:16" ht="13.5" thickBot="1">
      <c r="B184" s="332"/>
      <c r="C184" s="694" t="s">
        <v>294</v>
      </c>
      <c r="D184" s="695"/>
      <c r="E184" s="695"/>
      <c r="F184" s="695"/>
      <c r="G184" s="695"/>
      <c r="H184" s="695"/>
      <c r="I184" s="696"/>
      <c r="J184" s="697"/>
      <c r="K184" s="541"/>
      <c r="L184" s="541"/>
      <c r="M184" s="541"/>
      <c r="N184" s="541"/>
      <c r="O184" s="698"/>
      <c r="P184" s="699"/>
    </row>
    <row r="185" spans="1:16" ht="15">
      <c r="C185" s="700" t="s">
        <v>272</v>
      </c>
      <c r="D185" s="1256">
        <v>2426728</v>
      </c>
      <c r="E185" s="656" t="s">
        <v>273</v>
      </c>
      <c r="G185" s="701"/>
      <c r="H185" s="701"/>
      <c r="I185" s="702">
        <v>2018</v>
      </c>
      <c r="J185" s="587"/>
      <c r="K185" s="1542" t="s">
        <v>459</v>
      </c>
      <c r="L185" s="1542"/>
      <c r="M185" s="1542"/>
      <c r="N185" s="1542"/>
      <c r="O185" s="1542"/>
      <c r="P185" s="587"/>
    </row>
    <row r="186" spans="1:16">
      <c r="C186" s="700" t="s">
        <v>275</v>
      </c>
      <c r="D186" s="872">
        <v>2011</v>
      </c>
      <c r="E186" s="700" t="s">
        <v>276</v>
      </c>
      <c r="F186" s="701"/>
      <c r="H186" s="332"/>
      <c r="I186" s="875">
        <f>IF(G179="",0,$F$15)</f>
        <v>0</v>
      </c>
      <c r="J186" s="703"/>
      <c r="K186" s="1246" t="s">
        <v>459</v>
      </c>
      <c r="P186" s="703"/>
    </row>
    <row r="187" spans="1:16">
      <c r="C187" s="700" t="s">
        <v>277</v>
      </c>
      <c r="D187" s="1257">
        <v>12</v>
      </c>
      <c r="E187" s="700" t="s">
        <v>278</v>
      </c>
      <c r="F187" s="701"/>
      <c r="H187" s="332"/>
      <c r="I187" s="704">
        <f>$G$70</f>
        <v>0.1009634410531228</v>
      </c>
      <c r="J187" s="705"/>
      <c r="K187" s="332" t="str">
        <f>"          INPUT PROJECTED ARR (WITH &amp; WITHOUT INCENTIVES) FROM EACH PRIOR YEAR"</f>
        <v xml:space="preserve">          INPUT PROJECTED ARR (WITH &amp; WITHOUT INCENTIVES) FROM EACH PRIOR YEAR</v>
      </c>
      <c r="P187" s="705"/>
    </row>
    <row r="188" spans="1:16">
      <c r="C188" s="700" t="s">
        <v>279</v>
      </c>
      <c r="D188" s="706">
        <f>G$79</f>
        <v>46</v>
      </c>
      <c r="E188" s="700" t="s">
        <v>280</v>
      </c>
      <c r="F188" s="701"/>
      <c r="H188" s="332"/>
      <c r="I188" s="704">
        <f>IF(G179="",I187,$G$67)</f>
        <v>0.1009634410531228</v>
      </c>
      <c r="J188" s="707"/>
      <c r="K188" s="332" t="s">
        <v>357</v>
      </c>
      <c r="P188" s="707"/>
    </row>
    <row r="189" spans="1:16" ht="13.5" thickBot="1">
      <c r="C189" s="700" t="s">
        <v>281</v>
      </c>
      <c r="D189" s="874" t="s">
        <v>974</v>
      </c>
      <c r="E189" s="708" t="s">
        <v>282</v>
      </c>
      <c r="F189" s="709"/>
      <c r="G189" s="710"/>
      <c r="H189" s="710"/>
      <c r="I189" s="1255">
        <f>IF(D185=0,0,D185/D188)</f>
        <v>52754.956521739128</v>
      </c>
      <c r="J189" s="1246"/>
      <c r="K189" s="1246" t="s">
        <v>363</v>
      </c>
      <c r="L189" s="1246"/>
      <c r="M189" s="1246"/>
      <c r="N189" s="1246"/>
      <c r="O189" s="589"/>
      <c r="P189" s="1246"/>
    </row>
    <row r="190" spans="1:16" ht="51">
      <c r="A190" s="528"/>
      <c r="B190" s="528"/>
      <c r="C190" s="711" t="s">
        <v>272</v>
      </c>
      <c r="D190" s="1258" t="s">
        <v>283</v>
      </c>
      <c r="E190" s="1259" t="s">
        <v>284</v>
      </c>
      <c r="F190" s="1258" t="s">
        <v>285</v>
      </c>
      <c r="G190" s="1259" t="s">
        <v>356</v>
      </c>
      <c r="H190" s="1260" t="s">
        <v>356</v>
      </c>
      <c r="I190" s="711" t="s">
        <v>295</v>
      </c>
      <c r="J190" s="715"/>
      <c r="K190" s="1259" t="s">
        <v>365</v>
      </c>
      <c r="L190" s="1261"/>
      <c r="M190" s="1259" t="s">
        <v>365</v>
      </c>
      <c r="N190" s="1261"/>
      <c r="O190" s="1261"/>
      <c r="P190" s="716"/>
    </row>
    <row r="191" spans="1:16" ht="13.5" thickBot="1">
      <c r="B191" s="332"/>
      <c r="C191" s="717" t="s">
        <v>177</v>
      </c>
      <c r="D191" s="718" t="s">
        <v>178</v>
      </c>
      <c r="E191" s="717" t="s">
        <v>37</v>
      </c>
      <c r="F191" s="718" t="s">
        <v>178</v>
      </c>
      <c r="G191" s="1262" t="s">
        <v>298</v>
      </c>
      <c r="H191" s="1263" t="s">
        <v>300</v>
      </c>
      <c r="I191" s="721" t="s">
        <v>389</v>
      </c>
      <c r="J191" s="722"/>
      <c r="K191" s="1262" t="s">
        <v>287</v>
      </c>
      <c r="L191" s="1264"/>
      <c r="M191" s="1262" t="s">
        <v>300</v>
      </c>
      <c r="N191" s="1264"/>
      <c r="O191" s="1264"/>
      <c r="P191" s="587"/>
    </row>
    <row r="192" spans="1:16">
      <c r="B192" s="332"/>
      <c r="C192" s="723">
        <f>IF(D186= "","-",D186)</f>
        <v>2011</v>
      </c>
      <c r="D192" s="674">
        <f>+D185</f>
        <v>2426728</v>
      </c>
      <c r="E192" s="1265">
        <f>+I189/12*(12-D187)</f>
        <v>0</v>
      </c>
      <c r="F192" s="674">
        <f t="shared" ref="F192:F251" si="6">+D192-E192</f>
        <v>2426728</v>
      </c>
      <c r="G192" s="1266">
        <f>+$I$187*((D192+F192)/2)+E192</f>
        <v>245010.80937996259</v>
      </c>
      <c r="H192" s="1267">
        <f>+$I$188*((D192+F192)/2)+E192</f>
        <v>245010.80937996259</v>
      </c>
      <c r="I192" s="727">
        <f>+H192-G192</f>
        <v>0</v>
      </c>
      <c r="J192" s="727"/>
      <c r="K192" s="876" t="s">
        <v>114</v>
      </c>
      <c r="L192" s="729"/>
      <c r="M192" s="876" t="s">
        <v>114</v>
      </c>
      <c r="N192" s="729"/>
      <c r="O192" s="729"/>
      <c r="P192" s="675"/>
    </row>
    <row r="193" spans="2:16">
      <c r="B193" s="332"/>
      <c r="C193" s="723">
        <f>IF(D186="","-",+C192+1)</f>
        <v>2012</v>
      </c>
      <c r="D193" s="674">
        <f>F192</f>
        <v>2426728</v>
      </c>
      <c r="E193" s="730">
        <f>IF(D193&gt;$I$189,$I$189,D193)</f>
        <v>52754.956521739128</v>
      </c>
      <c r="F193" s="674">
        <f>+D193-E193</f>
        <v>2373973.0434782607</v>
      </c>
      <c r="G193" s="1265">
        <f t="shared" ref="G193:G251" si="7">+$I$187*((D193+F193)/2)+E193</f>
        <v>295102.60493018036</v>
      </c>
      <c r="H193" s="1268">
        <f t="shared" ref="H193:H251" si="8">+$I$188*((D193+F193)/2)+E193</f>
        <v>295102.60493018036</v>
      </c>
      <c r="I193" s="727">
        <f t="shared" ref="I193:I251" si="9">+H193-G193</f>
        <v>0</v>
      </c>
      <c r="J193" s="727"/>
      <c r="K193" s="1277" t="s">
        <v>114</v>
      </c>
      <c r="L193" s="733"/>
      <c r="M193" s="1277" t="s">
        <v>114</v>
      </c>
      <c r="N193" s="733"/>
      <c r="O193" s="733"/>
      <c r="P193" s="675"/>
    </row>
    <row r="194" spans="2:16">
      <c r="B194" s="332"/>
      <c r="C194" s="723">
        <f>IF(D186="","-",+C193+1)</f>
        <v>2013</v>
      </c>
      <c r="D194" s="674">
        <f>F193</f>
        <v>2373973.0434782607</v>
      </c>
      <c r="E194" s="730">
        <f t="shared" ref="E194:E251" si="10">IF(D194&gt;$I$189,$I$189,D194)</f>
        <v>52754.956521739128</v>
      </c>
      <c r="F194" s="674">
        <f t="shared" si="6"/>
        <v>2321218.0869565215</v>
      </c>
      <c r="G194" s="1265">
        <f t="shared" si="7"/>
        <v>289776.28298713767</v>
      </c>
      <c r="H194" s="1268">
        <f t="shared" si="8"/>
        <v>289776.28298713767</v>
      </c>
      <c r="I194" s="727">
        <f t="shared" si="9"/>
        <v>0</v>
      </c>
      <c r="J194" s="727"/>
      <c r="K194" s="1277">
        <v>41778</v>
      </c>
      <c r="L194" s="1278"/>
      <c r="M194" s="1277">
        <v>41778</v>
      </c>
      <c r="N194" s="733"/>
      <c r="O194" s="733"/>
      <c r="P194" s="675"/>
    </row>
    <row r="195" spans="2:16">
      <c r="B195" s="332"/>
      <c r="C195" s="723">
        <f>IF(D186="","-",+C194+1)</f>
        <v>2014</v>
      </c>
      <c r="D195" s="674">
        <f t="shared" ref="D195:D251" si="11">F194</f>
        <v>2321218.0869565215</v>
      </c>
      <c r="E195" s="730">
        <f t="shared" si="10"/>
        <v>52754.956521739128</v>
      </c>
      <c r="F195" s="674">
        <f t="shared" si="6"/>
        <v>2268463.1304347822</v>
      </c>
      <c r="G195" s="1265">
        <f t="shared" si="7"/>
        <v>284449.96104409499</v>
      </c>
      <c r="H195" s="1268">
        <f t="shared" si="8"/>
        <v>284449.96104409499</v>
      </c>
      <c r="I195" s="727">
        <f t="shared" si="9"/>
        <v>0</v>
      </c>
      <c r="J195" s="727"/>
      <c r="K195" s="1277">
        <v>36470</v>
      </c>
      <c r="L195" s="733"/>
      <c r="M195" s="1277">
        <v>36470</v>
      </c>
      <c r="N195" s="733"/>
      <c r="O195" s="733"/>
      <c r="P195" s="675"/>
    </row>
    <row r="196" spans="2:16">
      <c r="B196" s="332"/>
      <c r="C196" s="723">
        <f>IF(D186="","-",+C195+1)</f>
        <v>2015</v>
      </c>
      <c r="D196" s="674">
        <f t="shared" si="11"/>
        <v>2268463.1304347822</v>
      </c>
      <c r="E196" s="730">
        <f t="shared" si="10"/>
        <v>52754.956521739128</v>
      </c>
      <c r="F196" s="674">
        <f t="shared" si="6"/>
        <v>2215708.173913043</v>
      </c>
      <c r="G196" s="1265">
        <f t="shared" si="7"/>
        <v>279123.63910105231</v>
      </c>
      <c r="H196" s="1268">
        <f t="shared" si="8"/>
        <v>279123.63910105231</v>
      </c>
      <c r="I196" s="727">
        <f t="shared" si="9"/>
        <v>0</v>
      </c>
      <c r="J196" s="727"/>
      <c r="K196" s="877">
        <v>36769</v>
      </c>
      <c r="L196" s="733"/>
      <c r="M196" s="877">
        <v>36769</v>
      </c>
      <c r="N196" s="733"/>
      <c r="O196" s="733"/>
      <c r="P196" s="675"/>
    </row>
    <row r="197" spans="2:16">
      <c r="B197" s="332"/>
      <c r="C197" s="723">
        <f>IF(D186="","-",+C196+1)</f>
        <v>2016</v>
      </c>
      <c r="D197" s="674">
        <f t="shared" si="11"/>
        <v>2215708.173913043</v>
      </c>
      <c r="E197" s="730">
        <f t="shared" si="10"/>
        <v>52754.956521739128</v>
      </c>
      <c r="F197" s="674">
        <f t="shared" si="6"/>
        <v>2162953.2173913037</v>
      </c>
      <c r="G197" s="1265">
        <f t="shared" si="7"/>
        <v>273797.31715800968</v>
      </c>
      <c r="H197" s="1268">
        <f t="shared" si="8"/>
        <v>273797.31715800968</v>
      </c>
      <c r="I197" s="727">
        <f t="shared" si="9"/>
        <v>0</v>
      </c>
      <c r="J197" s="727"/>
      <c r="K197" s="877">
        <v>35303</v>
      </c>
      <c r="L197" s="733"/>
      <c r="M197" s="877">
        <v>35303</v>
      </c>
      <c r="N197" s="733"/>
      <c r="O197" s="733"/>
      <c r="P197" s="675"/>
    </row>
    <row r="198" spans="2:16">
      <c r="B198" s="332"/>
      <c r="C198" s="723">
        <f>IF(D186="","-",+C197+1)</f>
        <v>2017</v>
      </c>
      <c r="D198" s="674">
        <f t="shared" si="11"/>
        <v>2162953.2173913037</v>
      </c>
      <c r="E198" s="730">
        <f t="shared" si="10"/>
        <v>52754.956521739128</v>
      </c>
      <c r="F198" s="674">
        <f t="shared" si="6"/>
        <v>2110198.2608695645</v>
      </c>
      <c r="G198" s="1265">
        <f t="shared" si="7"/>
        <v>268470.995214967</v>
      </c>
      <c r="H198" s="1268">
        <f t="shared" si="8"/>
        <v>268470.995214967</v>
      </c>
      <c r="I198" s="727">
        <f t="shared" si="9"/>
        <v>0</v>
      </c>
      <c r="J198" s="727"/>
      <c r="K198" s="877">
        <v>36769</v>
      </c>
      <c r="L198" s="733"/>
      <c r="M198" s="877">
        <v>36769</v>
      </c>
      <c r="N198" s="733"/>
      <c r="O198" s="733"/>
      <c r="P198" s="675"/>
    </row>
    <row r="199" spans="2:16">
      <c r="B199" s="332"/>
      <c r="C199" s="1269">
        <f>IF(D186="","-",+C198+1)</f>
        <v>2018</v>
      </c>
      <c r="D199" s="1270">
        <f t="shared" si="11"/>
        <v>2110198.2608695645</v>
      </c>
      <c r="E199" s="1271">
        <f t="shared" si="10"/>
        <v>52754.956521739128</v>
      </c>
      <c r="F199" s="1270">
        <f t="shared" si="6"/>
        <v>2057443.3043478255</v>
      </c>
      <c r="G199" s="1272">
        <f t="shared" si="7"/>
        <v>263144.67327192432</v>
      </c>
      <c r="H199" s="1273">
        <f t="shared" si="8"/>
        <v>263144.67327192432</v>
      </c>
      <c r="I199" s="1279">
        <f t="shared" si="9"/>
        <v>0</v>
      </c>
      <c r="J199" s="727"/>
      <c r="K199" s="877"/>
      <c r="L199" s="733"/>
      <c r="M199" s="877"/>
      <c r="N199" s="733"/>
      <c r="O199" s="733"/>
      <c r="P199" s="675"/>
    </row>
    <row r="200" spans="2:16">
      <c r="B200" s="332"/>
      <c r="C200" s="723">
        <f>IF(D186="","-",+C199+1)</f>
        <v>2019</v>
      </c>
      <c r="D200" s="674">
        <f t="shared" si="11"/>
        <v>2057443.3043478255</v>
      </c>
      <c r="E200" s="730">
        <f t="shared" si="10"/>
        <v>52754.956521739128</v>
      </c>
      <c r="F200" s="674">
        <f t="shared" si="6"/>
        <v>2004688.3478260865</v>
      </c>
      <c r="G200" s="1265">
        <f t="shared" si="7"/>
        <v>257818.35132888169</v>
      </c>
      <c r="H200" s="1268">
        <f t="shared" si="8"/>
        <v>257818.35132888169</v>
      </c>
      <c r="I200" s="727">
        <f t="shared" si="9"/>
        <v>0</v>
      </c>
      <c r="J200" s="727"/>
      <c r="K200" s="877"/>
      <c r="L200" s="733"/>
      <c r="M200" s="877"/>
      <c r="N200" s="733"/>
      <c r="O200" s="733"/>
      <c r="P200" s="675"/>
    </row>
    <row r="201" spans="2:16">
      <c r="B201" s="332"/>
      <c r="C201" s="723">
        <f>IF(D186="","-",+C200+1)</f>
        <v>2020</v>
      </c>
      <c r="D201" s="674">
        <f t="shared" si="11"/>
        <v>2004688.3478260865</v>
      </c>
      <c r="E201" s="730">
        <f t="shared" si="10"/>
        <v>52754.956521739128</v>
      </c>
      <c r="F201" s="674">
        <f t="shared" si="6"/>
        <v>1951933.3913043474</v>
      </c>
      <c r="G201" s="1265">
        <f t="shared" si="7"/>
        <v>252492.02938583901</v>
      </c>
      <c r="H201" s="1268">
        <f t="shared" si="8"/>
        <v>252492.02938583901</v>
      </c>
      <c r="I201" s="727">
        <f t="shared" si="9"/>
        <v>0</v>
      </c>
      <c r="J201" s="727"/>
      <c r="K201" s="877"/>
      <c r="L201" s="733"/>
      <c r="M201" s="877"/>
      <c r="N201" s="733"/>
      <c r="O201" s="733"/>
      <c r="P201" s="675"/>
    </row>
    <row r="202" spans="2:16">
      <c r="B202" s="332"/>
      <c r="C202" s="723">
        <f>IF(D186="","-",+C201+1)</f>
        <v>2021</v>
      </c>
      <c r="D202" s="674">
        <f t="shared" si="11"/>
        <v>1951933.3913043474</v>
      </c>
      <c r="E202" s="730">
        <f t="shared" si="10"/>
        <v>52754.956521739128</v>
      </c>
      <c r="F202" s="674">
        <f t="shared" si="6"/>
        <v>1899178.4347826084</v>
      </c>
      <c r="G202" s="1265">
        <f t="shared" si="7"/>
        <v>247165.70744279638</v>
      </c>
      <c r="H202" s="1268">
        <f t="shared" si="8"/>
        <v>247165.70744279638</v>
      </c>
      <c r="I202" s="727">
        <f t="shared" si="9"/>
        <v>0</v>
      </c>
      <c r="J202" s="727"/>
      <c r="K202" s="877"/>
      <c r="L202" s="733"/>
      <c r="M202" s="877"/>
      <c r="N202" s="733"/>
      <c r="O202" s="733"/>
      <c r="P202" s="675"/>
    </row>
    <row r="203" spans="2:16">
      <c r="B203" s="332"/>
      <c r="C203" s="723">
        <f>IF(D186="","-",+C202+1)</f>
        <v>2022</v>
      </c>
      <c r="D203" s="674">
        <f t="shared" si="11"/>
        <v>1899178.4347826084</v>
      </c>
      <c r="E203" s="730">
        <f t="shared" si="10"/>
        <v>52754.956521739128</v>
      </c>
      <c r="F203" s="674">
        <f t="shared" si="6"/>
        <v>1846423.4782608694</v>
      </c>
      <c r="G203" s="1265">
        <f t="shared" si="7"/>
        <v>241839.3854997537</v>
      </c>
      <c r="H203" s="1268">
        <f t="shared" si="8"/>
        <v>241839.3854997537</v>
      </c>
      <c r="I203" s="727">
        <f t="shared" si="9"/>
        <v>0</v>
      </c>
      <c r="J203" s="727"/>
      <c r="K203" s="877"/>
      <c r="L203" s="733"/>
      <c r="M203" s="877"/>
      <c r="N203" s="733"/>
      <c r="O203" s="733"/>
      <c r="P203" s="675"/>
    </row>
    <row r="204" spans="2:16">
      <c r="B204" s="332"/>
      <c r="C204" s="723">
        <f>IF(D186="","-",+C203+1)</f>
        <v>2023</v>
      </c>
      <c r="D204" s="674">
        <f t="shared" si="11"/>
        <v>1846423.4782608694</v>
      </c>
      <c r="E204" s="730">
        <f t="shared" si="10"/>
        <v>52754.956521739128</v>
      </c>
      <c r="F204" s="674">
        <f t="shared" si="6"/>
        <v>1793668.5217391304</v>
      </c>
      <c r="G204" s="1265">
        <f t="shared" si="7"/>
        <v>236513.06355671107</v>
      </c>
      <c r="H204" s="1268">
        <f t="shared" si="8"/>
        <v>236513.06355671107</v>
      </c>
      <c r="I204" s="727">
        <f t="shared" si="9"/>
        <v>0</v>
      </c>
      <c r="J204" s="727"/>
      <c r="K204" s="877"/>
      <c r="L204" s="733"/>
      <c r="M204" s="877"/>
      <c r="N204" s="734"/>
      <c r="O204" s="733"/>
      <c r="P204" s="675"/>
    </row>
    <row r="205" spans="2:16">
      <c r="B205" s="332"/>
      <c r="C205" s="723">
        <f>IF(D186="","-",+C204+1)</f>
        <v>2024</v>
      </c>
      <c r="D205" s="674">
        <f t="shared" si="11"/>
        <v>1793668.5217391304</v>
      </c>
      <c r="E205" s="730">
        <f t="shared" si="10"/>
        <v>52754.956521739128</v>
      </c>
      <c r="F205" s="674">
        <f t="shared" si="6"/>
        <v>1740913.5652173914</v>
      </c>
      <c r="G205" s="1265">
        <f t="shared" si="7"/>
        <v>231186.74161366839</v>
      </c>
      <c r="H205" s="1268">
        <f t="shared" si="8"/>
        <v>231186.74161366839</v>
      </c>
      <c r="I205" s="727">
        <f t="shared" si="9"/>
        <v>0</v>
      </c>
      <c r="J205" s="727"/>
      <c r="K205" s="877"/>
      <c r="L205" s="733"/>
      <c r="M205" s="877"/>
      <c r="N205" s="733"/>
      <c r="O205" s="733"/>
      <c r="P205" s="675"/>
    </row>
    <row r="206" spans="2:16">
      <c r="B206" s="332"/>
      <c r="C206" s="723">
        <f>IF(D186="","-",+C205+1)</f>
        <v>2025</v>
      </c>
      <c r="D206" s="674">
        <f t="shared" si="11"/>
        <v>1740913.5652173914</v>
      </c>
      <c r="E206" s="730">
        <f t="shared" si="10"/>
        <v>52754.956521739128</v>
      </c>
      <c r="F206" s="674">
        <f t="shared" si="6"/>
        <v>1688158.6086956523</v>
      </c>
      <c r="G206" s="1265">
        <f t="shared" si="7"/>
        <v>225860.41967062576</v>
      </c>
      <c r="H206" s="1268">
        <f t="shared" si="8"/>
        <v>225860.41967062576</v>
      </c>
      <c r="I206" s="727">
        <f t="shared" si="9"/>
        <v>0</v>
      </c>
      <c r="J206" s="727"/>
      <c r="K206" s="877"/>
      <c r="L206" s="733"/>
      <c r="M206" s="877"/>
      <c r="N206" s="733"/>
      <c r="O206" s="733"/>
      <c r="P206" s="675"/>
    </row>
    <row r="207" spans="2:16">
      <c r="B207" s="332"/>
      <c r="C207" s="723">
        <f>IF(D186="","-",+C206+1)</f>
        <v>2026</v>
      </c>
      <c r="D207" s="674">
        <f t="shared" si="11"/>
        <v>1688158.6086956523</v>
      </c>
      <c r="E207" s="730">
        <f t="shared" si="10"/>
        <v>52754.956521739128</v>
      </c>
      <c r="F207" s="674">
        <f t="shared" si="6"/>
        <v>1635403.6521739133</v>
      </c>
      <c r="G207" s="1265">
        <f t="shared" si="7"/>
        <v>220534.09772758308</v>
      </c>
      <c r="H207" s="1268">
        <f t="shared" si="8"/>
        <v>220534.09772758308</v>
      </c>
      <c r="I207" s="727">
        <f t="shared" si="9"/>
        <v>0</v>
      </c>
      <c r="J207" s="727"/>
      <c r="K207" s="877"/>
      <c r="L207" s="733"/>
      <c r="M207" s="877"/>
      <c r="N207" s="733"/>
      <c r="O207" s="733"/>
      <c r="P207" s="675"/>
    </row>
    <row r="208" spans="2:16">
      <c r="B208" s="332"/>
      <c r="C208" s="723">
        <f>IF(D186="","-",+C207+1)</f>
        <v>2027</v>
      </c>
      <c r="D208" s="674">
        <f t="shared" si="11"/>
        <v>1635403.6521739133</v>
      </c>
      <c r="E208" s="730">
        <f t="shared" si="10"/>
        <v>52754.956521739128</v>
      </c>
      <c r="F208" s="674">
        <f t="shared" si="6"/>
        <v>1582648.6956521743</v>
      </c>
      <c r="G208" s="1265">
        <f t="shared" si="7"/>
        <v>215207.77578454046</v>
      </c>
      <c r="H208" s="1268">
        <f t="shared" si="8"/>
        <v>215207.77578454046</v>
      </c>
      <c r="I208" s="727">
        <f t="shared" si="9"/>
        <v>0</v>
      </c>
      <c r="J208" s="727"/>
      <c r="K208" s="877"/>
      <c r="L208" s="733"/>
      <c r="M208" s="877"/>
      <c r="N208" s="733"/>
      <c r="O208" s="733"/>
      <c r="P208" s="675"/>
    </row>
    <row r="209" spans="2:16">
      <c r="B209" s="332"/>
      <c r="C209" s="723">
        <f>IF(D186="","-",+C208+1)</f>
        <v>2028</v>
      </c>
      <c r="D209" s="674">
        <f t="shared" si="11"/>
        <v>1582648.6956521743</v>
      </c>
      <c r="E209" s="730">
        <f t="shared" si="10"/>
        <v>52754.956521739128</v>
      </c>
      <c r="F209" s="674">
        <f t="shared" si="6"/>
        <v>1529893.7391304353</v>
      </c>
      <c r="G209" s="1265">
        <f t="shared" si="7"/>
        <v>209881.45384149777</v>
      </c>
      <c r="H209" s="1268">
        <f t="shared" si="8"/>
        <v>209881.45384149777</v>
      </c>
      <c r="I209" s="727">
        <f t="shared" si="9"/>
        <v>0</v>
      </c>
      <c r="J209" s="727"/>
      <c r="K209" s="877"/>
      <c r="L209" s="733"/>
      <c r="M209" s="877"/>
      <c r="N209" s="733"/>
      <c r="O209" s="733"/>
      <c r="P209" s="675"/>
    </row>
    <row r="210" spans="2:16">
      <c r="B210" s="332"/>
      <c r="C210" s="723">
        <f>IF(D186="","-",+C209+1)</f>
        <v>2029</v>
      </c>
      <c r="D210" s="674">
        <f t="shared" si="11"/>
        <v>1529893.7391304353</v>
      </c>
      <c r="E210" s="730">
        <f t="shared" si="10"/>
        <v>52754.956521739128</v>
      </c>
      <c r="F210" s="674">
        <f t="shared" si="6"/>
        <v>1477138.7826086963</v>
      </c>
      <c r="G210" s="1265">
        <f t="shared" si="7"/>
        <v>204555.13189845515</v>
      </c>
      <c r="H210" s="1268">
        <f t="shared" si="8"/>
        <v>204555.13189845515</v>
      </c>
      <c r="I210" s="727">
        <f t="shared" si="9"/>
        <v>0</v>
      </c>
      <c r="J210" s="727"/>
      <c r="K210" s="877"/>
      <c r="L210" s="733"/>
      <c r="M210" s="877"/>
      <c r="N210" s="733"/>
      <c r="O210" s="733"/>
      <c r="P210" s="675"/>
    </row>
    <row r="211" spans="2:16">
      <c r="B211" s="332"/>
      <c r="C211" s="723">
        <f>IF(D186="","-",+C210+1)</f>
        <v>2030</v>
      </c>
      <c r="D211" s="674">
        <f t="shared" si="11"/>
        <v>1477138.7826086963</v>
      </c>
      <c r="E211" s="730">
        <f t="shared" si="10"/>
        <v>52754.956521739128</v>
      </c>
      <c r="F211" s="674">
        <f t="shared" si="6"/>
        <v>1424383.8260869572</v>
      </c>
      <c r="G211" s="1265">
        <f t="shared" si="7"/>
        <v>199228.80995541246</v>
      </c>
      <c r="H211" s="1268">
        <f t="shared" si="8"/>
        <v>199228.80995541246</v>
      </c>
      <c r="I211" s="727">
        <f t="shared" si="9"/>
        <v>0</v>
      </c>
      <c r="J211" s="727"/>
      <c r="K211" s="877"/>
      <c r="L211" s="733"/>
      <c r="M211" s="877"/>
      <c r="N211" s="733"/>
      <c r="O211" s="733"/>
      <c r="P211" s="675"/>
    </row>
    <row r="212" spans="2:16">
      <c r="B212" s="332"/>
      <c r="C212" s="723">
        <f>IF(D186="","-",+C211+1)</f>
        <v>2031</v>
      </c>
      <c r="D212" s="674">
        <f t="shared" si="11"/>
        <v>1424383.8260869572</v>
      </c>
      <c r="E212" s="730">
        <f t="shared" si="10"/>
        <v>52754.956521739128</v>
      </c>
      <c r="F212" s="674">
        <f t="shared" si="6"/>
        <v>1371628.8695652182</v>
      </c>
      <c r="G212" s="1265">
        <f t="shared" si="7"/>
        <v>193902.48801236984</v>
      </c>
      <c r="H212" s="1268">
        <f t="shared" si="8"/>
        <v>193902.48801236984</v>
      </c>
      <c r="I212" s="727">
        <f t="shared" si="9"/>
        <v>0</v>
      </c>
      <c r="J212" s="727"/>
      <c r="K212" s="877"/>
      <c r="L212" s="733"/>
      <c r="M212" s="877"/>
      <c r="N212" s="733"/>
      <c r="O212" s="733"/>
      <c r="P212" s="675"/>
    </row>
    <row r="213" spans="2:16">
      <c r="B213" s="332"/>
      <c r="C213" s="723">
        <f>IF(D186="","-",+C212+1)</f>
        <v>2032</v>
      </c>
      <c r="D213" s="674">
        <f t="shared" si="11"/>
        <v>1371628.8695652182</v>
      </c>
      <c r="E213" s="730">
        <f t="shared" si="10"/>
        <v>52754.956521739128</v>
      </c>
      <c r="F213" s="674">
        <f t="shared" si="6"/>
        <v>1318873.9130434792</v>
      </c>
      <c r="G213" s="1265">
        <f t="shared" si="7"/>
        <v>188576.16606932716</v>
      </c>
      <c r="H213" s="1268">
        <f t="shared" si="8"/>
        <v>188576.16606932716</v>
      </c>
      <c r="I213" s="727">
        <f t="shared" si="9"/>
        <v>0</v>
      </c>
      <c r="J213" s="727"/>
      <c r="K213" s="877"/>
      <c r="L213" s="733"/>
      <c r="M213" s="877"/>
      <c r="N213" s="733"/>
      <c r="O213" s="733"/>
      <c r="P213" s="675"/>
    </row>
    <row r="214" spans="2:16">
      <c r="B214" s="332"/>
      <c r="C214" s="723">
        <f>IF(D186="","-",+C213+1)</f>
        <v>2033</v>
      </c>
      <c r="D214" s="674">
        <f t="shared" si="11"/>
        <v>1318873.9130434792</v>
      </c>
      <c r="E214" s="730">
        <f t="shared" si="10"/>
        <v>52754.956521739128</v>
      </c>
      <c r="F214" s="674">
        <f t="shared" si="6"/>
        <v>1266118.9565217402</v>
      </c>
      <c r="G214" s="1265">
        <f t="shared" si="7"/>
        <v>183249.84412628453</v>
      </c>
      <c r="H214" s="1268">
        <f t="shared" si="8"/>
        <v>183249.84412628453</v>
      </c>
      <c r="I214" s="727">
        <f t="shared" si="9"/>
        <v>0</v>
      </c>
      <c r="J214" s="727"/>
      <c r="K214" s="877"/>
      <c r="L214" s="733"/>
      <c r="M214" s="877"/>
      <c r="N214" s="733"/>
      <c r="O214" s="733"/>
      <c r="P214" s="675"/>
    </row>
    <row r="215" spans="2:16">
      <c r="B215" s="332"/>
      <c r="C215" s="723">
        <f>IF(D186="","-",+C214+1)</f>
        <v>2034</v>
      </c>
      <c r="D215" s="674">
        <f t="shared" si="11"/>
        <v>1266118.9565217402</v>
      </c>
      <c r="E215" s="730">
        <f t="shared" si="10"/>
        <v>52754.956521739128</v>
      </c>
      <c r="F215" s="674">
        <f t="shared" si="6"/>
        <v>1213364.0000000012</v>
      </c>
      <c r="G215" s="1265">
        <f t="shared" si="7"/>
        <v>177923.52218324185</v>
      </c>
      <c r="H215" s="1268">
        <f t="shared" si="8"/>
        <v>177923.52218324185</v>
      </c>
      <c r="I215" s="727">
        <f t="shared" si="9"/>
        <v>0</v>
      </c>
      <c r="J215" s="727"/>
      <c r="K215" s="877"/>
      <c r="L215" s="733"/>
      <c r="M215" s="877"/>
      <c r="N215" s="733"/>
      <c r="O215" s="733"/>
      <c r="P215" s="675"/>
    </row>
    <row r="216" spans="2:16">
      <c r="B216" s="332"/>
      <c r="C216" s="723">
        <f>IF(D186="","-",+C215+1)</f>
        <v>2035</v>
      </c>
      <c r="D216" s="674">
        <f t="shared" si="11"/>
        <v>1213364.0000000012</v>
      </c>
      <c r="E216" s="730">
        <f t="shared" si="10"/>
        <v>52754.956521739128</v>
      </c>
      <c r="F216" s="674">
        <f t="shared" si="6"/>
        <v>1160609.0434782621</v>
      </c>
      <c r="G216" s="1265">
        <f t="shared" si="7"/>
        <v>172597.20024019922</v>
      </c>
      <c r="H216" s="1268">
        <f t="shared" si="8"/>
        <v>172597.20024019922</v>
      </c>
      <c r="I216" s="727">
        <f t="shared" si="9"/>
        <v>0</v>
      </c>
      <c r="J216" s="727"/>
      <c r="K216" s="877"/>
      <c r="L216" s="733"/>
      <c r="M216" s="877"/>
      <c r="N216" s="733"/>
      <c r="O216" s="733"/>
      <c r="P216" s="675"/>
    </row>
    <row r="217" spans="2:16">
      <c r="B217" s="332"/>
      <c r="C217" s="723">
        <f>IF(D186="","-",+C216+1)</f>
        <v>2036</v>
      </c>
      <c r="D217" s="674">
        <f t="shared" si="11"/>
        <v>1160609.0434782621</v>
      </c>
      <c r="E217" s="730">
        <f t="shared" si="10"/>
        <v>52754.956521739128</v>
      </c>
      <c r="F217" s="674">
        <f t="shared" si="6"/>
        <v>1107854.0869565231</v>
      </c>
      <c r="G217" s="1265">
        <f t="shared" si="7"/>
        <v>167270.87829715654</v>
      </c>
      <c r="H217" s="1268">
        <f t="shared" si="8"/>
        <v>167270.87829715654</v>
      </c>
      <c r="I217" s="727">
        <f t="shared" si="9"/>
        <v>0</v>
      </c>
      <c r="J217" s="727"/>
      <c r="K217" s="877"/>
      <c r="L217" s="733"/>
      <c r="M217" s="877"/>
      <c r="N217" s="733"/>
      <c r="O217" s="733"/>
      <c r="P217" s="675"/>
    </row>
    <row r="218" spans="2:16">
      <c r="B218" s="332"/>
      <c r="C218" s="723">
        <f>IF(D186="","-",+C217+1)</f>
        <v>2037</v>
      </c>
      <c r="D218" s="674">
        <f t="shared" si="11"/>
        <v>1107854.0869565231</v>
      </c>
      <c r="E218" s="730">
        <f t="shared" si="10"/>
        <v>52754.956521739128</v>
      </c>
      <c r="F218" s="674">
        <f t="shared" si="6"/>
        <v>1055099.1304347841</v>
      </c>
      <c r="G218" s="1265">
        <f t="shared" si="7"/>
        <v>161944.55635411391</v>
      </c>
      <c r="H218" s="1268">
        <f t="shared" si="8"/>
        <v>161944.55635411391</v>
      </c>
      <c r="I218" s="727">
        <f t="shared" si="9"/>
        <v>0</v>
      </c>
      <c r="J218" s="727"/>
      <c r="K218" s="877"/>
      <c r="L218" s="733"/>
      <c r="M218" s="877"/>
      <c r="N218" s="733"/>
      <c r="O218" s="733"/>
      <c r="P218" s="675"/>
    </row>
    <row r="219" spans="2:16">
      <c r="B219" s="332"/>
      <c r="C219" s="723">
        <f>IF(D186="","-",+C218+1)</f>
        <v>2038</v>
      </c>
      <c r="D219" s="674">
        <f t="shared" si="11"/>
        <v>1055099.1304347841</v>
      </c>
      <c r="E219" s="730">
        <f t="shared" si="10"/>
        <v>52754.956521739128</v>
      </c>
      <c r="F219" s="674">
        <f t="shared" si="6"/>
        <v>1002344.173913045</v>
      </c>
      <c r="G219" s="1265">
        <f t="shared" si="7"/>
        <v>156618.23441107123</v>
      </c>
      <c r="H219" s="1268">
        <f t="shared" si="8"/>
        <v>156618.23441107123</v>
      </c>
      <c r="I219" s="727">
        <f t="shared" si="9"/>
        <v>0</v>
      </c>
      <c r="J219" s="727"/>
      <c r="K219" s="877"/>
      <c r="L219" s="733"/>
      <c r="M219" s="877"/>
      <c r="N219" s="733"/>
      <c r="O219" s="733"/>
      <c r="P219" s="675"/>
    </row>
    <row r="220" spans="2:16">
      <c r="B220" s="332"/>
      <c r="C220" s="723">
        <f>IF(D186="","-",+C219+1)</f>
        <v>2039</v>
      </c>
      <c r="D220" s="674">
        <f t="shared" si="11"/>
        <v>1002344.173913045</v>
      </c>
      <c r="E220" s="730">
        <f t="shared" si="10"/>
        <v>52754.956521739128</v>
      </c>
      <c r="F220" s="674">
        <f t="shared" si="6"/>
        <v>949589.21739130584</v>
      </c>
      <c r="G220" s="1274">
        <f t="shared" si="7"/>
        <v>151291.91246802857</v>
      </c>
      <c r="H220" s="1268">
        <f t="shared" si="8"/>
        <v>151291.91246802857</v>
      </c>
      <c r="I220" s="727">
        <f t="shared" si="9"/>
        <v>0</v>
      </c>
      <c r="J220" s="727"/>
      <c r="K220" s="877"/>
      <c r="L220" s="733"/>
      <c r="M220" s="877"/>
      <c r="N220" s="733"/>
      <c r="O220" s="733"/>
      <c r="P220" s="675"/>
    </row>
    <row r="221" spans="2:16">
      <c r="B221" s="332"/>
      <c r="C221" s="723">
        <f>IF(D186="","-",+C220+1)</f>
        <v>2040</v>
      </c>
      <c r="D221" s="674">
        <f t="shared" si="11"/>
        <v>949589.21739130584</v>
      </c>
      <c r="E221" s="730">
        <f t="shared" si="10"/>
        <v>52754.956521739128</v>
      </c>
      <c r="F221" s="674">
        <f t="shared" si="6"/>
        <v>896834.2608695667</v>
      </c>
      <c r="G221" s="1265">
        <f t="shared" si="7"/>
        <v>145965.59052498592</v>
      </c>
      <c r="H221" s="1268">
        <f t="shared" si="8"/>
        <v>145965.59052498592</v>
      </c>
      <c r="I221" s="727">
        <f t="shared" si="9"/>
        <v>0</v>
      </c>
      <c r="J221" s="727"/>
      <c r="K221" s="877"/>
      <c r="L221" s="733"/>
      <c r="M221" s="877"/>
      <c r="N221" s="733"/>
      <c r="O221" s="733"/>
      <c r="P221" s="675"/>
    </row>
    <row r="222" spans="2:16">
      <c r="B222" s="332"/>
      <c r="C222" s="723">
        <f>IF(D186="","-",+C221+1)</f>
        <v>2041</v>
      </c>
      <c r="D222" s="674">
        <f t="shared" si="11"/>
        <v>896834.2608695667</v>
      </c>
      <c r="E222" s="730">
        <f t="shared" si="10"/>
        <v>52754.956521739128</v>
      </c>
      <c r="F222" s="674">
        <f t="shared" si="6"/>
        <v>844079.30434782756</v>
      </c>
      <c r="G222" s="1265">
        <f t="shared" si="7"/>
        <v>140639.26858194327</v>
      </c>
      <c r="H222" s="1268">
        <f t="shared" si="8"/>
        <v>140639.26858194327</v>
      </c>
      <c r="I222" s="727">
        <f t="shared" si="9"/>
        <v>0</v>
      </c>
      <c r="J222" s="727"/>
      <c r="K222" s="877"/>
      <c r="L222" s="733"/>
      <c r="M222" s="877"/>
      <c r="N222" s="733"/>
      <c r="O222" s="733"/>
      <c r="P222" s="675"/>
    </row>
    <row r="223" spans="2:16">
      <c r="B223" s="332"/>
      <c r="C223" s="723">
        <f>IF(D186="","-",+C222+1)</f>
        <v>2042</v>
      </c>
      <c r="D223" s="674">
        <f t="shared" si="11"/>
        <v>844079.30434782756</v>
      </c>
      <c r="E223" s="730">
        <f t="shared" si="10"/>
        <v>52754.956521739128</v>
      </c>
      <c r="F223" s="674">
        <f t="shared" si="6"/>
        <v>791324.34782608843</v>
      </c>
      <c r="G223" s="1265">
        <f t="shared" si="7"/>
        <v>135312.94663890058</v>
      </c>
      <c r="H223" s="1268">
        <f t="shared" si="8"/>
        <v>135312.94663890058</v>
      </c>
      <c r="I223" s="727">
        <f t="shared" si="9"/>
        <v>0</v>
      </c>
      <c r="J223" s="727"/>
      <c r="K223" s="877"/>
      <c r="L223" s="733"/>
      <c r="M223" s="877"/>
      <c r="N223" s="733"/>
      <c r="O223" s="733"/>
      <c r="P223" s="675"/>
    </row>
    <row r="224" spans="2:16">
      <c r="B224" s="332"/>
      <c r="C224" s="723">
        <f>IF(D186="","-",+C223+1)</f>
        <v>2043</v>
      </c>
      <c r="D224" s="674">
        <f t="shared" si="11"/>
        <v>791324.34782608843</v>
      </c>
      <c r="E224" s="730">
        <f t="shared" si="10"/>
        <v>52754.956521739128</v>
      </c>
      <c r="F224" s="674">
        <f t="shared" si="6"/>
        <v>738569.39130434929</v>
      </c>
      <c r="G224" s="1265">
        <f t="shared" si="7"/>
        <v>129986.62469585793</v>
      </c>
      <c r="H224" s="1268">
        <f t="shared" si="8"/>
        <v>129986.62469585793</v>
      </c>
      <c r="I224" s="727">
        <f t="shared" si="9"/>
        <v>0</v>
      </c>
      <c r="J224" s="727"/>
      <c r="K224" s="877"/>
      <c r="L224" s="733"/>
      <c r="M224" s="877"/>
      <c r="N224" s="733"/>
      <c r="O224" s="733"/>
      <c r="P224" s="675"/>
    </row>
    <row r="225" spans="2:16">
      <c r="B225" s="332"/>
      <c r="C225" s="723">
        <f>IF(D186="","-",+C224+1)</f>
        <v>2044</v>
      </c>
      <c r="D225" s="674">
        <f t="shared" si="11"/>
        <v>738569.39130434929</v>
      </c>
      <c r="E225" s="730">
        <f t="shared" si="10"/>
        <v>52754.956521739128</v>
      </c>
      <c r="F225" s="674">
        <f t="shared" si="6"/>
        <v>685814.43478261016</v>
      </c>
      <c r="G225" s="1265">
        <f t="shared" si="7"/>
        <v>124660.30275281525</v>
      </c>
      <c r="H225" s="1268">
        <f t="shared" si="8"/>
        <v>124660.30275281525</v>
      </c>
      <c r="I225" s="727">
        <f t="shared" si="9"/>
        <v>0</v>
      </c>
      <c r="J225" s="727"/>
      <c r="K225" s="877"/>
      <c r="L225" s="733"/>
      <c r="M225" s="877"/>
      <c r="N225" s="733"/>
      <c r="O225" s="733"/>
      <c r="P225" s="675"/>
    </row>
    <row r="226" spans="2:16">
      <c r="B226" s="332"/>
      <c r="C226" s="723">
        <f>IF(D186="","-",+C225+1)</f>
        <v>2045</v>
      </c>
      <c r="D226" s="674">
        <f t="shared" si="11"/>
        <v>685814.43478261016</v>
      </c>
      <c r="E226" s="730">
        <f t="shared" si="10"/>
        <v>52754.956521739128</v>
      </c>
      <c r="F226" s="674">
        <f t="shared" si="6"/>
        <v>633059.47826087102</v>
      </c>
      <c r="G226" s="1265">
        <f t="shared" si="7"/>
        <v>119333.98080977259</v>
      </c>
      <c r="H226" s="1268">
        <f t="shared" si="8"/>
        <v>119333.98080977259</v>
      </c>
      <c r="I226" s="727">
        <f t="shared" si="9"/>
        <v>0</v>
      </c>
      <c r="J226" s="727"/>
      <c r="K226" s="877"/>
      <c r="L226" s="733"/>
      <c r="M226" s="877"/>
      <c r="N226" s="733"/>
      <c r="O226" s="733"/>
      <c r="P226" s="675"/>
    </row>
    <row r="227" spans="2:16">
      <c r="B227" s="332"/>
      <c r="C227" s="723">
        <f>IF(D186="","-",+C226+1)</f>
        <v>2046</v>
      </c>
      <c r="D227" s="674">
        <f t="shared" si="11"/>
        <v>633059.47826087102</v>
      </c>
      <c r="E227" s="730">
        <f t="shared" si="10"/>
        <v>52754.956521739128</v>
      </c>
      <c r="F227" s="674">
        <f t="shared" si="6"/>
        <v>580304.52173913189</v>
      </c>
      <c r="G227" s="1265">
        <f t="shared" si="7"/>
        <v>114007.65886672991</v>
      </c>
      <c r="H227" s="1268">
        <f t="shared" si="8"/>
        <v>114007.65886672991</v>
      </c>
      <c r="I227" s="727">
        <f t="shared" si="9"/>
        <v>0</v>
      </c>
      <c r="J227" s="727"/>
      <c r="K227" s="877"/>
      <c r="L227" s="733"/>
      <c r="M227" s="877"/>
      <c r="N227" s="733"/>
      <c r="O227" s="733"/>
      <c r="P227" s="675"/>
    </row>
    <row r="228" spans="2:16">
      <c r="B228" s="332"/>
      <c r="C228" s="723">
        <f>IF(D186="","-",+C227+1)</f>
        <v>2047</v>
      </c>
      <c r="D228" s="674">
        <f t="shared" si="11"/>
        <v>580304.52173913189</v>
      </c>
      <c r="E228" s="730">
        <f t="shared" si="10"/>
        <v>52754.956521739128</v>
      </c>
      <c r="F228" s="674">
        <f t="shared" si="6"/>
        <v>527549.56521739275</v>
      </c>
      <c r="G228" s="1265">
        <f t="shared" si="7"/>
        <v>108681.33692368725</v>
      </c>
      <c r="H228" s="1268">
        <f t="shared" si="8"/>
        <v>108681.33692368725</v>
      </c>
      <c r="I228" s="727">
        <f t="shared" si="9"/>
        <v>0</v>
      </c>
      <c r="J228" s="727"/>
      <c r="K228" s="877"/>
      <c r="L228" s="733"/>
      <c r="M228" s="877"/>
      <c r="N228" s="733"/>
      <c r="O228" s="733"/>
      <c r="P228" s="675"/>
    </row>
    <row r="229" spans="2:16">
      <c r="B229" s="332"/>
      <c r="C229" s="723">
        <f>IF(D186="","-",+C228+1)</f>
        <v>2048</v>
      </c>
      <c r="D229" s="674">
        <f t="shared" si="11"/>
        <v>527549.56521739275</v>
      </c>
      <c r="E229" s="730">
        <f t="shared" si="10"/>
        <v>52754.956521739128</v>
      </c>
      <c r="F229" s="674">
        <f t="shared" si="6"/>
        <v>474794.60869565362</v>
      </c>
      <c r="G229" s="1265">
        <f t="shared" si="7"/>
        <v>103355.0149806446</v>
      </c>
      <c r="H229" s="1268">
        <f t="shared" si="8"/>
        <v>103355.0149806446</v>
      </c>
      <c r="I229" s="727">
        <f t="shared" si="9"/>
        <v>0</v>
      </c>
      <c r="J229" s="727"/>
      <c r="K229" s="877"/>
      <c r="L229" s="733"/>
      <c r="M229" s="877"/>
      <c r="N229" s="733"/>
      <c r="O229" s="733"/>
      <c r="P229" s="675"/>
    </row>
    <row r="230" spans="2:16">
      <c r="B230" s="332"/>
      <c r="C230" s="723">
        <f>IF(D186="","-",+C229+1)</f>
        <v>2049</v>
      </c>
      <c r="D230" s="674">
        <f t="shared" si="11"/>
        <v>474794.60869565362</v>
      </c>
      <c r="E230" s="730">
        <f t="shared" si="10"/>
        <v>52754.956521739128</v>
      </c>
      <c r="F230" s="674">
        <f t="shared" si="6"/>
        <v>422039.65217391448</v>
      </c>
      <c r="G230" s="1265">
        <f t="shared" si="7"/>
        <v>98028.693037601915</v>
      </c>
      <c r="H230" s="1268">
        <f t="shared" si="8"/>
        <v>98028.693037601915</v>
      </c>
      <c r="I230" s="727">
        <f t="shared" si="9"/>
        <v>0</v>
      </c>
      <c r="J230" s="727"/>
      <c r="K230" s="877"/>
      <c r="L230" s="733"/>
      <c r="M230" s="877"/>
      <c r="N230" s="733"/>
      <c r="O230" s="733"/>
      <c r="P230" s="675"/>
    </row>
    <row r="231" spans="2:16">
      <c r="B231" s="332"/>
      <c r="C231" s="723">
        <f>IF(D186="","-",+C230+1)</f>
        <v>2050</v>
      </c>
      <c r="D231" s="674">
        <f t="shared" si="11"/>
        <v>422039.65217391448</v>
      </c>
      <c r="E231" s="730">
        <f t="shared" si="10"/>
        <v>52754.956521739128</v>
      </c>
      <c r="F231" s="674">
        <f t="shared" si="6"/>
        <v>369284.69565217535</v>
      </c>
      <c r="G231" s="1265">
        <f t="shared" si="7"/>
        <v>92702.371094559261</v>
      </c>
      <c r="H231" s="1268">
        <f t="shared" si="8"/>
        <v>92702.371094559261</v>
      </c>
      <c r="I231" s="727">
        <f t="shared" si="9"/>
        <v>0</v>
      </c>
      <c r="J231" s="727"/>
      <c r="K231" s="877"/>
      <c r="L231" s="733"/>
      <c r="M231" s="877"/>
      <c r="N231" s="733"/>
      <c r="O231" s="733"/>
      <c r="P231" s="675"/>
    </row>
    <row r="232" spans="2:16">
      <c r="B232" s="332"/>
      <c r="C232" s="723">
        <f>IF(D186="","-",+C231+1)</f>
        <v>2051</v>
      </c>
      <c r="D232" s="674">
        <f t="shared" si="11"/>
        <v>369284.69565217535</v>
      </c>
      <c r="E232" s="730">
        <f t="shared" si="10"/>
        <v>52754.956521739128</v>
      </c>
      <c r="F232" s="674">
        <f t="shared" si="6"/>
        <v>316529.73913043621</v>
      </c>
      <c r="G232" s="1265">
        <f t="shared" si="7"/>
        <v>87376.049151516592</v>
      </c>
      <c r="H232" s="1268">
        <f t="shared" si="8"/>
        <v>87376.049151516592</v>
      </c>
      <c r="I232" s="727">
        <f t="shared" si="9"/>
        <v>0</v>
      </c>
      <c r="J232" s="727"/>
      <c r="K232" s="877"/>
      <c r="L232" s="733"/>
      <c r="M232" s="877"/>
      <c r="N232" s="733"/>
      <c r="O232" s="733"/>
      <c r="P232" s="675"/>
    </row>
    <row r="233" spans="2:16">
      <c r="B233" s="332"/>
      <c r="C233" s="723">
        <f>IF(D186="","-",+C232+1)</f>
        <v>2052</v>
      </c>
      <c r="D233" s="674">
        <f t="shared" si="11"/>
        <v>316529.73913043621</v>
      </c>
      <c r="E233" s="730">
        <f t="shared" si="10"/>
        <v>52754.956521739128</v>
      </c>
      <c r="F233" s="674">
        <f t="shared" si="6"/>
        <v>263774.78260869707</v>
      </c>
      <c r="G233" s="1265">
        <f t="shared" si="7"/>
        <v>82049.727208473923</v>
      </c>
      <c r="H233" s="1268">
        <f t="shared" si="8"/>
        <v>82049.727208473923</v>
      </c>
      <c r="I233" s="727">
        <f t="shared" si="9"/>
        <v>0</v>
      </c>
      <c r="J233" s="727"/>
      <c r="K233" s="877"/>
      <c r="L233" s="733"/>
      <c r="M233" s="877"/>
      <c r="N233" s="733"/>
      <c r="O233" s="733"/>
      <c r="P233" s="675"/>
    </row>
    <row r="234" spans="2:16">
      <c r="B234" s="332"/>
      <c r="C234" s="723">
        <f>IF(D186="","-",+C233+1)</f>
        <v>2053</v>
      </c>
      <c r="D234" s="674">
        <f t="shared" si="11"/>
        <v>263774.78260869707</v>
      </c>
      <c r="E234" s="730">
        <f t="shared" si="10"/>
        <v>52754.956521739128</v>
      </c>
      <c r="F234" s="674">
        <f t="shared" si="6"/>
        <v>211019.82608695794</v>
      </c>
      <c r="G234" s="1265">
        <f t="shared" si="7"/>
        <v>76723.405265431269</v>
      </c>
      <c r="H234" s="1268">
        <f t="shared" si="8"/>
        <v>76723.405265431269</v>
      </c>
      <c r="I234" s="727">
        <f t="shared" si="9"/>
        <v>0</v>
      </c>
      <c r="J234" s="727"/>
      <c r="K234" s="877"/>
      <c r="L234" s="733"/>
      <c r="M234" s="877"/>
      <c r="N234" s="733"/>
      <c r="O234" s="733"/>
      <c r="P234" s="675"/>
    </row>
    <row r="235" spans="2:16">
      <c r="B235" s="332"/>
      <c r="C235" s="723">
        <f>IF(D186="","-",+C234+1)</f>
        <v>2054</v>
      </c>
      <c r="D235" s="674">
        <f t="shared" si="11"/>
        <v>211019.82608695794</v>
      </c>
      <c r="E235" s="730">
        <f t="shared" si="10"/>
        <v>52754.956521739128</v>
      </c>
      <c r="F235" s="674">
        <f t="shared" si="6"/>
        <v>158264.8695652188</v>
      </c>
      <c r="G235" s="1265">
        <f t="shared" si="7"/>
        <v>71397.0833223886</v>
      </c>
      <c r="H235" s="1268">
        <f t="shared" si="8"/>
        <v>71397.0833223886</v>
      </c>
      <c r="I235" s="727">
        <f t="shared" si="9"/>
        <v>0</v>
      </c>
      <c r="J235" s="727"/>
      <c r="K235" s="877"/>
      <c r="L235" s="733"/>
      <c r="M235" s="877"/>
      <c r="N235" s="733"/>
      <c r="O235" s="733"/>
      <c r="P235" s="675"/>
    </row>
    <row r="236" spans="2:16">
      <c r="B236" s="332"/>
      <c r="C236" s="723">
        <f>IF(D186="","-",+C235+1)</f>
        <v>2055</v>
      </c>
      <c r="D236" s="674">
        <f t="shared" si="11"/>
        <v>158264.8695652188</v>
      </c>
      <c r="E236" s="730">
        <f t="shared" si="10"/>
        <v>52754.956521739128</v>
      </c>
      <c r="F236" s="674">
        <f t="shared" si="6"/>
        <v>105509.91304347967</v>
      </c>
      <c r="G236" s="1265">
        <f t="shared" si="7"/>
        <v>66070.761379345931</v>
      </c>
      <c r="H236" s="1268">
        <f t="shared" si="8"/>
        <v>66070.761379345931</v>
      </c>
      <c r="I236" s="727">
        <f t="shared" si="9"/>
        <v>0</v>
      </c>
      <c r="J236" s="727"/>
      <c r="K236" s="877"/>
      <c r="L236" s="733"/>
      <c r="M236" s="877"/>
      <c r="N236" s="733"/>
      <c r="O236" s="733"/>
      <c r="P236" s="675"/>
    </row>
    <row r="237" spans="2:16">
      <c r="B237" s="332"/>
      <c r="C237" s="723">
        <f>IF(D186="","-",+C236+1)</f>
        <v>2056</v>
      </c>
      <c r="D237" s="674">
        <f t="shared" si="11"/>
        <v>105509.91304347967</v>
      </c>
      <c r="E237" s="730">
        <f t="shared" si="10"/>
        <v>52754.956521739128</v>
      </c>
      <c r="F237" s="674">
        <f t="shared" si="6"/>
        <v>52754.95652174054</v>
      </c>
      <c r="G237" s="1265">
        <f t="shared" si="7"/>
        <v>60744.43943630327</v>
      </c>
      <c r="H237" s="1268">
        <f t="shared" si="8"/>
        <v>60744.43943630327</v>
      </c>
      <c r="I237" s="727">
        <f t="shared" si="9"/>
        <v>0</v>
      </c>
      <c r="J237" s="727"/>
      <c r="K237" s="877"/>
      <c r="L237" s="733"/>
      <c r="M237" s="877"/>
      <c r="N237" s="733"/>
      <c r="O237" s="733"/>
      <c r="P237" s="675"/>
    </row>
    <row r="238" spans="2:16">
      <c r="B238" s="332"/>
      <c r="C238" s="723">
        <f>IF(D186="","-",+C237+1)</f>
        <v>2057</v>
      </c>
      <c r="D238" s="674">
        <f t="shared" si="11"/>
        <v>52754.95652174054</v>
      </c>
      <c r="E238" s="730">
        <f t="shared" si="10"/>
        <v>52754.956521739128</v>
      </c>
      <c r="F238" s="674">
        <f t="shared" si="6"/>
        <v>1.4115357771515846E-9</v>
      </c>
      <c r="G238" s="1265">
        <f t="shared" si="7"/>
        <v>55418.117493260601</v>
      </c>
      <c r="H238" s="1268">
        <f t="shared" si="8"/>
        <v>55418.117493260601</v>
      </c>
      <c r="I238" s="727">
        <f t="shared" si="9"/>
        <v>0</v>
      </c>
      <c r="J238" s="727"/>
      <c r="K238" s="877"/>
      <c r="L238" s="733"/>
      <c r="M238" s="877"/>
      <c r="N238" s="733"/>
      <c r="O238" s="733"/>
      <c r="P238" s="675"/>
    </row>
    <row r="239" spans="2:16">
      <c r="B239" s="332"/>
      <c r="C239" s="723">
        <f>IF(D186="","-",+C238+1)</f>
        <v>2058</v>
      </c>
      <c r="D239" s="674">
        <f t="shared" si="11"/>
        <v>1.4115357771515846E-9</v>
      </c>
      <c r="E239" s="730">
        <f t="shared" si="10"/>
        <v>1.4115357771515846E-9</v>
      </c>
      <c r="F239" s="674">
        <f t="shared" si="6"/>
        <v>0</v>
      </c>
      <c r="G239" s="1265">
        <f t="shared" si="7"/>
        <v>1.4827925317669936E-9</v>
      </c>
      <c r="H239" s="1268">
        <f t="shared" si="8"/>
        <v>1.4827925317669936E-9</v>
      </c>
      <c r="I239" s="727">
        <f t="shared" si="9"/>
        <v>0</v>
      </c>
      <c r="J239" s="727"/>
      <c r="K239" s="877"/>
      <c r="L239" s="733"/>
      <c r="M239" s="877"/>
      <c r="N239" s="733"/>
      <c r="O239" s="733"/>
      <c r="P239" s="675"/>
    </row>
    <row r="240" spans="2:16">
      <c r="B240" s="332"/>
      <c r="C240" s="723">
        <f>IF(D186="","-",+C239+1)</f>
        <v>2059</v>
      </c>
      <c r="D240" s="674">
        <f t="shared" si="11"/>
        <v>0</v>
      </c>
      <c r="E240" s="730">
        <f t="shared" si="10"/>
        <v>0</v>
      </c>
      <c r="F240" s="674">
        <f t="shared" si="6"/>
        <v>0</v>
      </c>
      <c r="G240" s="1265">
        <f t="shared" si="7"/>
        <v>0</v>
      </c>
      <c r="H240" s="1268">
        <f t="shared" si="8"/>
        <v>0</v>
      </c>
      <c r="I240" s="727">
        <f t="shared" si="9"/>
        <v>0</v>
      </c>
      <c r="J240" s="727"/>
      <c r="K240" s="877"/>
      <c r="L240" s="733"/>
      <c r="M240" s="877"/>
      <c r="N240" s="733"/>
      <c r="O240" s="733"/>
      <c r="P240" s="675"/>
    </row>
    <row r="241" spans="2:16">
      <c r="B241" s="332"/>
      <c r="C241" s="723">
        <f>IF(D186="","-",+C240+1)</f>
        <v>2060</v>
      </c>
      <c r="D241" s="674">
        <f t="shared" si="11"/>
        <v>0</v>
      </c>
      <c r="E241" s="730">
        <f t="shared" si="10"/>
        <v>0</v>
      </c>
      <c r="F241" s="674">
        <f t="shared" si="6"/>
        <v>0</v>
      </c>
      <c r="G241" s="1265">
        <f t="shared" si="7"/>
        <v>0</v>
      </c>
      <c r="H241" s="1268">
        <f t="shared" si="8"/>
        <v>0</v>
      </c>
      <c r="I241" s="727">
        <f t="shared" si="9"/>
        <v>0</v>
      </c>
      <c r="J241" s="727"/>
      <c r="K241" s="877"/>
      <c r="L241" s="733"/>
      <c r="M241" s="877"/>
      <c r="N241" s="733"/>
      <c r="O241" s="733"/>
      <c r="P241" s="675"/>
    </row>
    <row r="242" spans="2:16">
      <c r="B242" s="332"/>
      <c r="C242" s="723">
        <f>IF(D186="","-",+C241+1)</f>
        <v>2061</v>
      </c>
      <c r="D242" s="674">
        <f t="shared" si="11"/>
        <v>0</v>
      </c>
      <c r="E242" s="730">
        <f t="shared" si="10"/>
        <v>0</v>
      </c>
      <c r="F242" s="674">
        <f t="shared" si="6"/>
        <v>0</v>
      </c>
      <c r="G242" s="1265">
        <f t="shared" si="7"/>
        <v>0</v>
      </c>
      <c r="H242" s="1268">
        <f t="shared" si="8"/>
        <v>0</v>
      </c>
      <c r="I242" s="727">
        <f t="shared" si="9"/>
        <v>0</v>
      </c>
      <c r="J242" s="727"/>
      <c r="K242" s="877"/>
      <c r="L242" s="733"/>
      <c r="M242" s="877"/>
      <c r="N242" s="733"/>
      <c r="O242" s="733"/>
      <c r="P242" s="675"/>
    </row>
    <row r="243" spans="2:16">
      <c r="B243" s="332"/>
      <c r="C243" s="723">
        <f>IF(D186="","-",+C242+1)</f>
        <v>2062</v>
      </c>
      <c r="D243" s="674">
        <f t="shared" si="11"/>
        <v>0</v>
      </c>
      <c r="E243" s="730">
        <f t="shared" si="10"/>
        <v>0</v>
      </c>
      <c r="F243" s="674">
        <f t="shared" si="6"/>
        <v>0</v>
      </c>
      <c r="G243" s="1265">
        <f t="shared" si="7"/>
        <v>0</v>
      </c>
      <c r="H243" s="1268">
        <f t="shared" si="8"/>
        <v>0</v>
      </c>
      <c r="I243" s="727">
        <f t="shared" si="9"/>
        <v>0</v>
      </c>
      <c r="J243" s="727"/>
      <c r="K243" s="877"/>
      <c r="L243" s="733"/>
      <c r="M243" s="877"/>
      <c r="N243" s="733"/>
      <c r="O243" s="733"/>
      <c r="P243" s="675"/>
    </row>
    <row r="244" spans="2:16">
      <c r="B244" s="332"/>
      <c r="C244" s="723">
        <f>IF(D186="","-",+C243+1)</f>
        <v>2063</v>
      </c>
      <c r="D244" s="674">
        <f t="shared" si="11"/>
        <v>0</v>
      </c>
      <c r="E244" s="730">
        <f t="shared" si="10"/>
        <v>0</v>
      </c>
      <c r="F244" s="674">
        <f t="shared" si="6"/>
        <v>0</v>
      </c>
      <c r="G244" s="1265">
        <f t="shared" si="7"/>
        <v>0</v>
      </c>
      <c r="H244" s="1268">
        <f t="shared" si="8"/>
        <v>0</v>
      </c>
      <c r="I244" s="727">
        <f t="shared" si="9"/>
        <v>0</v>
      </c>
      <c r="J244" s="727"/>
      <c r="K244" s="877"/>
      <c r="L244" s="733"/>
      <c r="M244" s="877"/>
      <c r="N244" s="733"/>
      <c r="O244" s="733"/>
      <c r="P244" s="675"/>
    </row>
    <row r="245" spans="2:16">
      <c r="B245" s="332"/>
      <c r="C245" s="723">
        <f>IF(D186="","-",+C244+1)</f>
        <v>2064</v>
      </c>
      <c r="D245" s="674">
        <f t="shared" si="11"/>
        <v>0</v>
      </c>
      <c r="E245" s="730">
        <f t="shared" si="10"/>
        <v>0</v>
      </c>
      <c r="F245" s="674">
        <f t="shared" si="6"/>
        <v>0</v>
      </c>
      <c r="G245" s="1265">
        <f t="shared" si="7"/>
        <v>0</v>
      </c>
      <c r="H245" s="1268">
        <f t="shared" si="8"/>
        <v>0</v>
      </c>
      <c r="I245" s="727">
        <f t="shared" si="9"/>
        <v>0</v>
      </c>
      <c r="J245" s="727"/>
      <c r="K245" s="877"/>
      <c r="L245" s="733"/>
      <c r="M245" s="877"/>
      <c r="N245" s="733"/>
      <c r="O245" s="733"/>
      <c r="P245" s="675"/>
    </row>
    <row r="246" spans="2:16">
      <c r="B246" s="332"/>
      <c r="C246" s="723">
        <f>IF(D186="","-",+C245+1)</f>
        <v>2065</v>
      </c>
      <c r="D246" s="674">
        <f t="shared" si="11"/>
        <v>0</v>
      </c>
      <c r="E246" s="730">
        <f t="shared" si="10"/>
        <v>0</v>
      </c>
      <c r="F246" s="674">
        <f t="shared" si="6"/>
        <v>0</v>
      </c>
      <c r="G246" s="1265">
        <f t="shared" si="7"/>
        <v>0</v>
      </c>
      <c r="H246" s="1268">
        <f t="shared" si="8"/>
        <v>0</v>
      </c>
      <c r="I246" s="727">
        <f t="shared" si="9"/>
        <v>0</v>
      </c>
      <c r="J246" s="727"/>
      <c r="K246" s="877"/>
      <c r="L246" s="733"/>
      <c r="M246" s="877"/>
      <c r="N246" s="733"/>
      <c r="O246" s="733"/>
      <c r="P246" s="675"/>
    </row>
    <row r="247" spans="2:16">
      <c r="B247" s="332"/>
      <c r="C247" s="723">
        <f>IF(D186="","-",+C246+1)</f>
        <v>2066</v>
      </c>
      <c r="D247" s="674">
        <f t="shared" si="11"/>
        <v>0</v>
      </c>
      <c r="E247" s="730">
        <f t="shared" si="10"/>
        <v>0</v>
      </c>
      <c r="F247" s="674">
        <f t="shared" si="6"/>
        <v>0</v>
      </c>
      <c r="G247" s="1265">
        <f t="shared" si="7"/>
        <v>0</v>
      </c>
      <c r="H247" s="1268">
        <f t="shared" si="8"/>
        <v>0</v>
      </c>
      <c r="I247" s="727">
        <f t="shared" si="9"/>
        <v>0</v>
      </c>
      <c r="J247" s="727"/>
      <c r="K247" s="877"/>
      <c r="L247" s="733"/>
      <c r="M247" s="877"/>
      <c r="N247" s="733"/>
      <c r="O247" s="733"/>
      <c r="P247" s="675"/>
    </row>
    <row r="248" spans="2:16">
      <c r="B248" s="332"/>
      <c r="C248" s="723">
        <f>IF(D186="","-",+C247+1)</f>
        <v>2067</v>
      </c>
      <c r="D248" s="674">
        <f t="shared" si="11"/>
        <v>0</v>
      </c>
      <c r="E248" s="730">
        <f t="shared" si="10"/>
        <v>0</v>
      </c>
      <c r="F248" s="674">
        <f t="shared" si="6"/>
        <v>0</v>
      </c>
      <c r="G248" s="1265">
        <f t="shared" si="7"/>
        <v>0</v>
      </c>
      <c r="H248" s="1268">
        <f t="shared" si="8"/>
        <v>0</v>
      </c>
      <c r="I248" s="727">
        <f t="shared" si="9"/>
        <v>0</v>
      </c>
      <c r="J248" s="727"/>
      <c r="K248" s="877"/>
      <c r="L248" s="733"/>
      <c r="M248" s="877"/>
      <c r="N248" s="733"/>
      <c r="O248" s="733"/>
      <c r="P248" s="675"/>
    </row>
    <row r="249" spans="2:16">
      <c r="B249" s="332"/>
      <c r="C249" s="723">
        <f>IF(D186="","-",+C248+1)</f>
        <v>2068</v>
      </c>
      <c r="D249" s="674">
        <f t="shared" si="11"/>
        <v>0</v>
      </c>
      <c r="E249" s="730">
        <f t="shared" si="10"/>
        <v>0</v>
      </c>
      <c r="F249" s="674">
        <f t="shared" si="6"/>
        <v>0</v>
      </c>
      <c r="G249" s="1265">
        <f t="shared" si="7"/>
        <v>0</v>
      </c>
      <c r="H249" s="1268">
        <f t="shared" si="8"/>
        <v>0</v>
      </c>
      <c r="I249" s="727">
        <f t="shared" si="9"/>
        <v>0</v>
      </c>
      <c r="J249" s="727"/>
      <c r="K249" s="877"/>
      <c r="L249" s="733"/>
      <c r="M249" s="877"/>
      <c r="N249" s="733"/>
      <c r="O249" s="733"/>
      <c r="P249" s="675"/>
    </row>
    <row r="250" spans="2:16">
      <c r="B250" s="332"/>
      <c r="C250" s="723">
        <f>IF(D186="","-",+C249+1)</f>
        <v>2069</v>
      </c>
      <c r="D250" s="674">
        <f t="shared" si="11"/>
        <v>0</v>
      </c>
      <c r="E250" s="730">
        <f t="shared" si="10"/>
        <v>0</v>
      </c>
      <c r="F250" s="674">
        <f t="shared" si="6"/>
        <v>0</v>
      </c>
      <c r="G250" s="1265">
        <f t="shared" si="7"/>
        <v>0</v>
      </c>
      <c r="H250" s="1268">
        <f t="shared" si="8"/>
        <v>0</v>
      </c>
      <c r="I250" s="727">
        <f t="shared" si="9"/>
        <v>0</v>
      </c>
      <c r="J250" s="727"/>
      <c r="K250" s="877"/>
      <c r="L250" s="733"/>
      <c r="M250" s="877"/>
      <c r="N250" s="733"/>
      <c r="O250" s="733"/>
      <c r="P250" s="675"/>
    </row>
    <row r="251" spans="2:16" ht="13.5" thickBot="1">
      <c r="B251" s="332"/>
      <c r="C251" s="735">
        <f>IF(D186="","-",+C250+1)</f>
        <v>2070</v>
      </c>
      <c r="D251" s="736">
        <f t="shared" si="11"/>
        <v>0</v>
      </c>
      <c r="E251" s="737">
        <f t="shared" si="10"/>
        <v>0</v>
      </c>
      <c r="F251" s="736">
        <f t="shared" si="6"/>
        <v>0</v>
      </c>
      <c r="G251" s="1275">
        <f t="shared" si="7"/>
        <v>0</v>
      </c>
      <c r="H251" s="1275">
        <f t="shared" si="8"/>
        <v>0</v>
      </c>
      <c r="I251" s="739">
        <f t="shared" si="9"/>
        <v>0</v>
      </c>
      <c r="J251" s="727"/>
      <c r="K251" s="878"/>
      <c r="L251" s="741"/>
      <c r="M251" s="878"/>
      <c r="N251" s="741"/>
      <c r="O251" s="741"/>
      <c r="P251" s="675"/>
    </row>
    <row r="252" spans="2:16">
      <c r="B252" s="332"/>
      <c r="C252" s="674" t="s">
        <v>288</v>
      </c>
      <c r="D252" s="1246"/>
      <c r="E252" s="1246">
        <f>SUM(E192:E251)</f>
        <v>2426728</v>
      </c>
      <c r="F252" s="1246"/>
      <c r="G252" s="1246">
        <f>SUM(G192:G251)</f>
        <v>8306987.4251191076</v>
      </c>
      <c r="H252" s="1246">
        <f>SUM(H192:H251)</f>
        <v>8306987.4251191076</v>
      </c>
      <c r="I252" s="1246">
        <f>SUM(I192:I251)</f>
        <v>0</v>
      </c>
      <c r="J252" s="1246"/>
      <c r="K252" s="1246"/>
      <c r="L252" s="1246"/>
      <c r="M252" s="1246"/>
      <c r="N252" s="1246"/>
      <c r="O252" s="541"/>
      <c r="P252" s="1246"/>
    </row>
    <row r="253" spans="2:16">
      <c r="B253" s="332"/>
      <c r="D253" s="564"/>
      <c r="E253" s="541"/>
      <c r="F253" s="541"/>
      <c r="G253" s="541"/>
      <c r="H253" s="1245"/>
      <c r="I253" s="1245"/>
      <c r="J253" s="1246"/>
      <c r="K253" s="1245"/>
      <c r="L253" s="1245"/>
      <c r="M253" s="1245"/>
      <c r="N253" s="1245"/>
      <c r="O253" s="541"/>
      <c r="P253" s="1246"/>
    </row>
    <row r="254" spans="2:16">
      <c r="B254" s="332"/>
      <c r="C254" s="541" t="s">
        <v>601</v>
      </c>
      <c r="D254" s="564"/>
      <c r="E254" s="541"/>
      <c r="F254" s="541"/>
      <c r="G254" s="541"/>
      <c r="H254" s="1245"/>
      <c r="I254" s="1245"/>
      <c r="J254" s="1246"/>
      <c r="K254" s="1245"/>
      <c r="L254" s="1245"/>
      <c r="M254" s="1245"/>
      <c r="N254" s="1245"/>
      <c r="O254" s="541"/>
      <c r="P254" s="1246"/>
    </row>
    <row r="255" spans="2:16">
      <c r="B255" s="332"/>
      <c r="D255" s="564"/>
      <c r="E255" s="541"/>
      <c r="F255" s="541"/>
      <c r="G255" s="541"/>
      <c r="H255" s="1245"/>
      <c r="I255" s="1245"/>
      <c r="J255" s="1246"/>
      <c r="K255" s="1245"/>
      <c r="L255" s="1245"/>
      <c r="M255" s="1245"/>
      <c r="N255" s="1245"/>
      <c r="O255" s="541"/>
      <c r="P255" s="1246"/>
    </row>
    <row r="256" spans="2:16">
      <c r="B256" s="332"/>
      <c r="C256" s="577" t="s">
        <v>602</v>
      </c>
      <c r="D256" s="674"/>
      <c r="E256" s="674"/>
      <c r="F256" s="674"/>
      <c r="G256" s="1246"/>
      <c r="H256" s="1246"/>
      <c r="I256" s="675"/>
      <c r="J256" s="675"/>
      <c r="K256" s="675"/>
      <c r="L256" s="675"/>
      <c r="M256" s="675"/>
      <c r="N256" s="675"/>
      <c r="O256" s="541"/>
      <c r="P256" s="675"/>
    </row>
    <row r="257" spans="1:16">
      <c r="B257" s="332"/>
      <c r="C257" s="577" t="s">
        <v>476</v>
      </c>
      <c r="D257" s="674"/>
      <c r="E257" s="674"/>
      <c r="F257" s="674"/>
      <c r="G257" s="1246"/>
      <c r="H257" s="1246"/>
      <c r="I257" s="675"/>
      <c r="J257" s="675"/>
      <c r="K257" s="675"/>
      <c r="L257" s="675"/>
      <c r="M257" s="675"/>
      <c r="N257" s="675"/>
      <c r="O257" s="541"/>
      <c r="P257" s="675"/>
    </row>
    <row r="258" spans="1:16">
      <c r="B258" s="332"/>
      <c r="C258" s="577" t="s">
        <v>289</v>
      </c>
      <c r="D258" s="674"/>
      <c r="E258" s="674"/>
      <c r="F258" s="674"/>
      <c r="G258" s="1246"/>
      <c r="H258" s="1246"/>
      <c r="I258" s="675"/>
      <c r="J258" s="675"/>
      <c r="K258" s="675"/>
      <c r="L258" s="675"/>
      <c r="M258" s="675"/>
      <c r="N258" s="675"/>
      <c r="O258" s="541"/>
      <c r="P258" s="675"/>
    </row>
    <row r="259" spans="1:16">
      <c r="B259" s="332"/>
      <c r="C259" s="673"/>
      <c r="D259" s="674"/>
      <c r="E259" s="674"/>
      <c r="F259" s="674"/>
      <c r="G259" s="1246"/>
      <c r="H259" s="1246"/>
      <c r="I259" s="675"/>
      <c r="J259" s="675"/>
      <c r="K259" s="675"/>
      <c r="L259" s="675"/>
      <c r="M259" s="675"/>
      <c r="N259" s="675"/>
      <c r="O259" s="541"/>
      <c r="P259" s="675"/>
    </row>
    <row r="260" spans="1:16">
      <c r="B260" s="332"/>
      <c r="C260" s="1543" t="s">
        <v>460</v>
      </c>
      <c r="D260" s="1543"/>
      <c r="E260" s="1543"/>
      <c r="F260" s="1543"/>
      <c r="G260" s="1543"/>
      <c r="H260" s="1543"/>
      <c r="I260" s="1543"/>
      <c r="J260" s="1543"/>
      <c r="K260" s="1543"/>
      <c r="L260" s="1543"/>
      <c r="M260" s="1543"/>
      <c r="N260" s="1543"/>
      <c r="O260" s="1543"/>
    </row>
    <row r="261" spans="1:16">
      <c r="B261" s="332"/>
      <c r="C261" s="1543"/>
      <c r="D261" s="1543"/>
      <c r="E261" s="1543"/>
      <c r="F261" s="1543"/>
      <c r="G261" s="1543"/>
      <c r="H261" s="1543"/>
      <c r="I261" s="1543"/>
      <c r="J261" s="1543"/>
      <c r="K261" s="1543"/>
      <c r="L261" s="1543"/>
      <c r="M261" s="1543"/>
      <c r="N261" s="1543"/>
      <c r="O261" s="1543"/>
    </row>
    <row r="262" spans="1:16" ht="20.25">
      <c r="A262" s="676" t="s">
        <v>972</v>
      </c>
      <c r="B262" s="541"/>
      <c r="C262" s="656"/>
      <c r="D262" s="564"/>
      <c r="E262" s="541"/>
      <c r="F262" s="646"/>
      <c r="G262" s="541"/>
      <c r="H262" s="1245"/>
      <c r="K262" s="677"/>
      <c r="L262" s="677"/>
      <c r="M262" s="677"/>
      <c r="N262" s="592" t="str">
        <f>"Page "&amp;SUM(P$6:P262)&amp;" of "</f>
        <v xml:space="preserve">Page 4 of </v>
      </c>
      <c r="O262" s="593">
        <f>COUNT(P$6:P$59606)</f>
        <v>14</v>
      </c>
      <c r="P262" s="541">
        <v>1</v>
      </c>
    </row>
    <row r="263" spans="1:16">
      <c r="B263" s="541"/>
      <c r="C263" s="541"/>
      <c r="D263" s="564"/>
      <c r="E263" s="541"/>
      <c r="F263" s="541"/>
      <c r="G263" s="541"/>
      <c r="H263" s="1245"/>
      <c r="I263" s="541"/>
      <c r="J263" s="589"/>
      <c r="K263" s="541"/>
      <c r="L263" s="541"/>
      <c r="M263" s="541"/>
      <c r="N263" s="541"/>
      <c r="O263" s="541"/>
    </row>
    <row r="264" spans="1:16" ht="18">
      <c r="B264" s="596" t="s">
        <v>174</v>
      </c>
      <c r="C264" s="678" t="s">
        <v>290</v>
      </c>
      <c r="D264" s="564"/>
      <c r="E264" s="541"/>
      <c r="F264" s="541"/>
      <c r="G264" s="541"/>
      <c r="H264" s="1245"/>
      <c r="I264" s="1245"/>
      <c r="J264" s="1246"/>
      <c r="K264" s="1245"/>
      <c r="L264" s="1245"/>
      <c r="M264" s="1245"/>
      <c r="N264" s="1245"/>
      <c r="O264" s="541"/>
    </row>
    <row r="265" spans="1:16" ht="18.75">
      <c r="B265" s="596"/>
      <c r="C265" s="595"/>
      <c r="D265" s="564"/>
      <c r="E265" s="541"/>
      <c r="F265" s="541"/>
      <c r="G265" s="541"/>
      <c r="H265" s="1245"/>
      <c r="I265" s="1245"/>
      <c r="J265" s="1246"/>
      <c r="K265" s="1245"/>
      <c r="L265" s="1245"/>
      <c r="M265" s="1245"/>
      <c r="N265" s="1245"/>
      <c r="O265" s="541"/>
    </row>
    <row r="266" spans="1:16" ht="18.75">
      <c r="B266" s="596"/>
      <c r="C266" s="595" t="s">
        <v>291</v>
      </c>
      <c r="D266" s="564"/>
      <c r="E266" s="541"/>
      <c r="F266" s="541"/>
      <c r="G266" s="541"/>
      <c r="H266" s="1245"/>
      <c r="I266" s="1245"/>
      <c r="J266" s="1246"/>
      <c r="K266" s="1245"/>
      <c r="L266" s="1245"/>
      <c r="M266" s="1245"/>
      <c r="N266" s="1245"/>
      <c r="O266" s="541"/>
    </row>
    <row r="267" spans="1:16" ht="15.75" thickBot="1">
      <c r="B267" s="332"/>
      <c r="C267" s="398"/>
      <c r="D267" s="564"/>
      <c r="E267" s="541"/>
      <c r="F267" s="541"/>
      <c r="G267" s="541"/>
      <c r="H267" s="1245"/>
      <c r="I267" s="1245"/>
      <c r="J267" s="1246"/>
      <c r="K267" s="1245"/>
      <c r="L267" s="1245"/>
      <c r="M267" s="1245"/>
      <c r="N267" s="1245"/>
      <c r="O267" s="541"/>
    </row>
    <row r="268" spans="1:16" ht="15.75">
      <c r="B268" s="332"/>
      <c r="C268" s="597" t="s">
        <v>292</v>
      </c>
      <c r="D268" s="564"/>
      <c r="E268" s="541"/>
      <c r="F268" s="541"/>
      <c r="G268" s="1247"/>
      <c r="H268" s="541" t="s">
        <v>271</v>
      </c>
      <c r="I268" s="541"/>
      <c r="J268" s="589"/>
      <c r="K268" s="679" t="s">
        <v>296</v>
      </c>
      <c r="L268" s="680"/>
      <c r="M268" s="681"/>
      <c r="N268" s="1248">
        <f>VLOOKUP(I274,C281:O340,5)</f>
        <v>1815324.0001715485</v>
      </c>
      <c r="O268" s="541"/>
    </row>
    <row r="269" spans="1:16" ht="15.75">
      <c r="B269" s="332"/>
      <c r="C269" s="597"/>
      <c r="D269" s="564"/>
      <c r="E269" s="541"/>
      <c r="F269" s="541"/>
      <c r="G269" s="541"/>
      <c r="H269" s="1249"/>
      <c r="I269" s="1249"/>
      <c r="J269" s="1250"/>
      <c r="K269" s="684" t="s">
        <v>297</v>
      </c>
      <c r="L269" s="1251"/>
      <c r="M269" s="589"/>
      <c r="N269" s="1252">
        <f>VLOOKUP(I274,C281:O340,6)</f>
        <v>1815324.0001715485</v>
      </c>
      <c r="O269" s="541"/>
    </row>
    <row r="270" spans="1:16" ht="13.5" thickBot="1">
      <c r="B270" s="332"/>
      <c r="C270" s="685" t="s">
        <v>293</v>
      </c>
      <c r="D270" s="1544" t="s">
        <v>976</v>
      </c>
      <c r="E270" s="1544"/>
      <c r="F270" s="1544"/>
      <c r="G270" s="1544"/>
      <c r="H270" s="1245"/>
      <c r="I270" s="1245"/>
      <c r="J270" s="1246"/>
      <c r="K270" s="1253" t="s">
        <v>450</v>
      </c>
      <c r="L270" s="1254"/>
      <c r="M270" s="1254"/>
      <c r="N270" s="1255">
        <f>+N269-N268</f>
        <v>0</v>
      </c>
      <c r="O270" s="541"/>
    </row>
    <row r="271" spans="1:16">
      <c r="B271" s="332"/>
      <c r="C271" s="687"/>
      <c r="D271" s="688"/>
      <c r="E271" s="672"/>
      <c r="F271" s="672"/>
      <c r="G271" s="689"/>
      <c r="H271" s="1245"/>
      <c r="I271" s="1245"/>
      <c r="J271" s="1246"/>
      <c r="K271" s="1245"/>
      <c r="L271" s="1245"/>
      <c r="M271" s="1245"/>
      <c r="N271" s="1245"/>
      <c r="O271" s="541"/>
    </row>
    <row r="272" spans="1:16" ht="13.5" thickBot="1">
      <c r="B272" s="332"/>
      <c r="C272" s="690"/>
      <c r="D272" s="691"/>
      <c r="E272" s="689"/>
      <c r="F272" s="689"/>
      <c r="G272" s="689"/>
      <c r="H272" s="689"/>
      <c r="I272" s="689"/>
      <c r="J272" s="692"/>
      <c r="K272" s="689"/>
      <c r="L272" s="689"/>
      <c r="M272" s="689"/>
      <c r="N272" s="689"/>
      <c r="O272" s="577"/>
    </row>
    <row r="273" spans="1:15" ht="13.5" thickBot="1">
      <c r="B273" s="332"/>
      <c r="C273" s="694" t="s">
        <v>294</v>
      </c>
      <c r="D273" s="695"/>
      <c r="E273" s="695"/>
      <c r="F273" s="695"/>
      <c r="G273" s="695"/>
      <c r="H273" s="695"/>
      <c r="I273" s="696"/>
      <c r="J273" s="697"/>
      <c r="K273" s="541"/>
      <c r="L273" s="541"/>
      <c r="M273" s="541"/>
      <c r="N273" s="541"/>
      <c r="O273" s="698"/>
    </row>
    <row r="274" spans="1:15" ht="15">
      <c r="B274" s="693"/>
      <c r="C274" s="700" t="s">
        <v>272</v>
      </c>
      <c r="D274" s="1256">
        <v>15858256</v>
      </c>
      <c r="E274" s="656" t="s">
        <v>273</v>
      </c>
      <c r="G274" s="701"/>
      <c r="H274" s="701"/>
      <c r="I274" s="702">
        <v>2018</v>
      </c>
      <c r="J274" s="587"/>
      <c r="K274" s="1542" t="s">
        <v>459</v>
      </c>
      <c r="L274" s="1542"/>
      <c r="M274" s="1542"/>
      <c r="N274" s="1542"/>
      <c r="O274" s="1542"/>
    </row>
    <row r="275" spans="1:15">
      <c r="B275" s="693"/>
      <c r="C275" s="700" t="s">
        <v>275</v>
      </c>
      <c r="D275" s="872">
        <v>2014</v>
      </c>
      <c r="E275" s="700" t="s">
        <v>276</v>
      </c>
      <c r="F275" s="701"/>
      <c r="H275" s="332"/>
      <c r="I275" s="875">
        <f>IF(G268="",0,$F$15)</f>
        <v>0</v>
      </c>
      <c r="J275" s="703"/>
      <c r="K275" s="1246" t="s">
        <v>459</v>
      </c>
    </row>
    <row r="276" spans="1:15">
      <c r="B276" s="693"/>
      <c r="C276" s="700" t="s">
        <v>277</v>
      </c>
      <c r="D276" s="1257">
        <v>9</v>
      </c>
      <c r="E276" s="700" t="s">
        <v>278</v>
      </c>
      <c r="F276" s="701"/>
      <c r="H276" s="332"/>
      <c r="I276" s="704">
        <f>$G$70</f>
        <v>0.1009634410531228</v>
      </c>
      <c r="J276" s="705"/>
      <c r="K276" s="332" t="str">
        <f>"          INPUT PROJECTED ARR (WITH &amp; WITHOUT INCENTIVES) FROM EACH PRIOR YEAR"</f>
        <v xml:space="preserve">          INPUT PROJECTED ARR (WITH &amp; WITHOUT INCENTIVES) FROM EACH PRIOR YEAR</v>
      </c>
    </row>
    <row r="277" spans="1:15">
      <c r="B277" s="693"/>
      <c r="C277" s="700" t="s">
        <v>279</v>
      </c>
      <c r="D277" s="706">
        <f>G$79</f>
        <v>46</v>
      </c>
      <c r="E277" s="700" t="s">
        <v>280</v>
      </c>
      <c r="F277" s="701"/>
      <c r="H277" s="332"/>
      <c r="I277" s="704">
        <f>IF(G268="",I276,$G$67)</f>
        <v>0.1009634410531228</v>
      </c>
      <c r="J277" s="707"/>
      <c r="K277" s="332" t="s">
        <v>357</v>
      </c>
    </row>
    <row r="278" spans="1:15" ht="13.5" thickBot="1">
      <c r="B278" s="693"/>
      <c r="C278" s="700" t="s">
        <v>281</v>
      </c>
      <c r="D278" s="874" t="s">
        <v>974</v>
      </c>
      <c r="E278" s="708" t="s">
        <v>282</v>
      </c>
      <c r="F278" s="709"/>
      <c r="G278" s="710"/>
      <c r="H278" s="710"/>
      <c r="I278" s="1255">
        <f>IF(D274=0,0,D274/D277)</f>
        <v>344744.69565217389</v>
      </c>
      <c r="J278" s="1246"/>
      <c r="K278" s="1246" t="s">
        <v>363</v>
      </c>
      <c r="L278" s="1246"/>
      <c r="M278" s="1246"/>
      <c r="N278" s="1246"/>
      <c r="O278" s="589"/>
    </row>
    <row r="279" spans="1:15" ht="51">
      <c r="A279" s="528"/>
      <c r="B279" s="528"/>
      <c r="C279" s="711" t="s">
        <v>272</v>
      </c>
      <c r="D279" s="1258" t="s">
        <v>283</v>
      </c>
      <c r="E279" s="1259" t="s">
        <v>284</v>
      </c>
      <c r="F279" s="1258" t="s">
        <v>285</v>
      </c>
      <c r="G279" s="1259" t="s">
        <v>356</v>
      </c>
      <c r="H279" s="1260" t="s">
        <v>356</v>
      </c>
      <c r="I279" s="711" t="s">
        <v>295</v>
      </c>
      <c r="J279" s="715"/>
      <c r="K279" s="1259" t="s">
        <v>365</v>
      </c>
      <c r="L279" s="1261"/>
      <c r="M279" s="1259" t="s">
        <v>365</v>
      </c>
      <c r="N279" s="1261"/>
      <c r="O279" s="1261"/>
    </row>
    <row r="280" spans="1:15" ht="13.5" thickBot="1">
      <c r="B280" s="332"/>
      <c r="C280" s="717" t="s">
        <v>177</v>
      </c>
      <c r="D280" s="718" t="s">
        <v>178</v>
      </c>
      <c r="E280" s="717" t="s">
        <v>37</v>
      </c>
      <c r="F280" s="718" t="s">
        <v>178</v>
      </c>
      <c r="G280" s="1262" t="s">
        <v>298</v>
      </c>
      <c r="H280" s="1263" t="s">
        <v>300</v>
      </c>
      <c r="I280" s="721" t="s">
        <v>389</v>
      </c>
      <c r="J280" s="722"/>
      <c r="K280" s="1262" t="s">
        <v>287</v>
      </c>
      <c r="L280" s="1264"/>
      <c r="M280" s="1262" t="s">
        <v>300</v>
      </c>
      <c r="N280" s="1264"/>
      <c r="O280" s="1264"/>
    </row>
    <row r="281" spans="1:15">
      <c r="B281" s="332"/>
      <c r="C281" s="723">
        <f>IF(D275= "","-",D275)</f>
        <v>2014</v>
      </c>
      <c r="D281" s="674">
        <f>+D274</f>
        <v>15858256</v>
      </c>
      <c r="E281" s="1280">
        <f>+I278/12*(12-D276)</f>
        <v>86186.173913043473</v>
      </c>
      <c r="F281" s="674">
        <f>+D281-E281</f>
        <v>15772069.826086957</v>
      </c>
      <c r="G281" s="1266">
        <f>+$I$276*((D281+F281)/2)+E281</f>
        <v>1682939.4424296427</v>
      </c>
      <c r="H281" s="1267">
        <f>+$I$277*((D281+F281)/2)+E281</f>
        <v>1682939.4424296427</v>
      </c>
      <c r="I281" s="727">
        <f>+H281-G281</f>
        <v>0</v>
      </c>
      <c r="J281" s="727"/>
      <c r="K281" s="876">
        <v>184681</v>
      </c>
      <c r="L281" s="729"/>
      <c r="M281" s="876">
        <v>184681</v>
      </c>
      <c r="N281" s="729"/>
      <c r="O281" s="729"/>
    </row>
    <row r="282" spans="1:15">
      <c r="B282" s="332"/>
      <c r="C282" s="723">
        <f>IF(D275="","-",+C281+1)</f>
        <v>2015</v>
      </c>
      <c r="D282" s="674">
        <f>F281</f>
        <v>15772069.826086957</v>
      </c>
      <c r="E282" s="730">
        <f>IF(D282&gt;$I$278,$I$278,D282)</f>
        <v>344744.69565217389</v>
      </c>
      <c r="F282" s="674">
        <f>+D282-E282</f>
        <v>15427325.130434783</v>
      </c>
      <c r="G282" s="1265">
        <f t="shared" ref="G282:G340" si="12">+$I$276*((D282+F282)/2)+E282</f>
        <v>1919743.8324451137</v>
      </c>
      <c r="H282" s="1268">
        <f t="shared" ref="H282:H340" si="13">+$I$277*((D282+F282)/2)+E282</f>
        <v>1919743.8324451137</v>
      </c>
      <c r="I282" s="727">
        <f t="shared" ref="I282:I340" si="14">+H282-G282</f>
        <v>0</v>
      </c>
      <c r="J282" s="727"/>
      <c r="K282" s="877">
        <v>1644963</v>
      </c>
      <c r="L282" s="733"/>
      <c r="M282" s="877">
        <v>1644963</v>
      </c>
      <c r="N282" s="733"/>
      <c r="O282" s="733"/>
    </row>
    <row r="283" spans="1:15">
      <c r="B283" s="332"/>
      <c r="C283" s="723">
        <f>IF(D275="","-",+C282+1)</f>
        <v>2016</v>
      </c>
      <c r="D283" s="674">
        <f>F282</f>
        <v>15427325.130434783</v>
      </c>
      <c r="E283" s="730">
        <f t="shared" ref="E283:E340" si="15">IF(D283&gt;$I$278,$I$278,D283)</f>
        <v>344744.69565217389</v>
      </c>
      <c r="F283" s="674">
        <f t="shared" ref="F283:F340" si="16">+D283-E283</f>
        <v>15082580.434782609</v>
      </c>
      <c r="G283" s="1265">
        <f t="shared" si="12"/>
        <v>1884937.2216872585</v>
      </c>
      <c r="H283" s="1268">
        <f t="shared" si="13"/>
        <v>1884937.2216872585</v>
      </c>
      <c r="I283" s="727">
        <f t="shared" si="14"/>
        <v>0</v>
      </c>
      <c r="J283" s="727"/>
      <c r="K283" s="877">
        <v>1563801</v>
      </c>
      <c r="L283" s="1278"/>
      <c r="M283" s="877">
        <v>1563801</v>
      </c>
      <c r="N283" s="733"/>
      <c r="O283" s="733"/>
    </row>
    <row r="284" spans="1:15">
      <c r="B284" s="332"/>
      <c r="C284" s="723">
        <f>IF(D275="","-",+C283+1)</f>
        <v>2017</v>
      </c>
      <c r="D284" s="674">
        <f t="shared" ref="D284:D340" si="17">F283</f>
        <v>15082580.434782609</v>
      </c>
      <c r="E284" s="730">
        <f t="shared" si="15"/>
        <v>344744.69565217389</v>
      </c>
      <c r="F284" s="674">
        <f t="shared" si="16"/>
        <v>14737835.739130436</v>
      </c>
      <c r="G284" s="1265">
        <f t="shared" si="12"/>
        <v>1850130.6109294037</v>
      </c>
      <c r="H284" s="1268">
        <f t="shared" si="13"/>
        <v>1850130.6109294037</v>
      </c>
      <c r="I284" s="727">
        <f t="shared" si="14"/>
        <v>0</v>
      </c>
      <c r="J284" s="727"/>
      <c r="K284" s="877">
        <v>1644963</v>
      </c>
      <c r="L284" s="733"/>
      <c r="M284" s="877">
        <v>1644963</v>
      </c>
      <c r="N284" s="733"/>
      <c r="O284" s="733"/>
    </row>
    <row r="285" spans="1:15">
      <c r="B285" s="332"/>
      <c r="C285" s="1269">
        <f>IF(D275="","-",+C284+1)</f>
        <v>2018</v>
      </c>
      <c r="D285" s="1270">
        <f t="shared" si="17"/>
        <v>14737835.739130436</v>
      </c>
      <c r="E285" s="1271">
        <f t="shared" si="15"/>
        <v>344744.69565217389</v>
      </c>
      <c r="F285" s="1270">
        <f t="shared" si="16"/>
        <v>14393091.043478262</v>
      </c>
      <c r="G285" s="1272">
        <f t="shared" si="12"/>
        <v>1815324.0001715485</v>
      </c>
      <c r="H285" s="1273">
        <f t="shared" si="13"/>
        <v>1815324.0001715485</v>
      </c>
      <c r="I285" s="1279">
        <f t="shared" si="14"/>
        <v>0</v>
      </c>
      <c r="J285" s="727"/>
      <c r="K285" s="877"/>
      <c r="L285" s="733"/>
      <c r="M285" s="877"/>
      <c r="N285" s="733"/>
      <c r="O285" s="733"/>
    </row>
    <row r="286" spans="1:15">
      <c r="B286" s="332"/>
      <c r="C286" s="723">
        <f>IF(D275="","-",+C285+1)</f>
        <v>2019</v>
      </c>
      <c r="D286" s="674">
        <f t="shared" si="17"/>
        <v>14393091.043478262</v>
      </c>
      <c r="E286" s="730">
        <f t="shared" si="15"/>
        <v>344744.69565217389</v>
      </c>
      <c r="F286" s="674">
        <f t="shared" si="16"/>
        <v>14048346.347826088</v>
      </c>
      <c r="G286" s="1265">
        <f t="shared" si="12"/>
        <v>1780517.3894136937</v>
      </c>
      <c r="H286" s="1268">
        <f t="shared" si="13"/>
        <v>1780517.3894136937</v>
      </c>
      <c r="I286" s="727">
        <f t="shared" si="14"/>
        <v>0</v>
      </c>
      <c r="J286" s="727"/>
      <c r="K286" s="877"/>
      <c r="L286" s="733"/>
      <c r="M286" s="877"/>
      <c r="N286" s="733"/>
      <c r="O286" s="733"/>
    </row>
    <row r="287" spans="1:15">
      <c r="B287" s="332"/>
      <c r="C287" s="723">
        <f>IF(D275="","-",+C286+1)</f>
        <v>2020</v>
      </c>
      <c r="D287" s="674">
        <f t="shared" si="17"/>
        <v>14048346.347826088</v>
      </c>
      <c r="E287" s="730">
        <f t="shared" si="15"/>
        <v>344744.69565217389</v>
      </c>
      <c r="F287" s="674">
        <f t="shared" si="16"/>
        <v>13703601.652173914</v>
      </c>
      <c r="G287" s="1265">
        <f t="shared" si="12"/>
        <v>1745710.7786558385</v>
      </c>
      <c r="H287" s="1268">
        <f t="shared" si="13"/>
        <v>1745710.7786558385</v>
      </c>
      <c r="I287" s="727">
        <f t="shared" si="14"/>
        <v>0</v>
      </c>
      <c r="J287" s="727"/>
      <c r="K287" s="877"/>
      <c r="L287" s="733"/>
      <c r="M287" s="877"/>
      <c r="N287" s="733"/>
      <c r="O287" s="733"/>
    </row>
    <row r="288" spans="1:15">
      <c r="B288" s="332"/>
      <c r="C288" s="723">
        <f>IF(D275="","-",+C287+1)</f>
        <v>2021</v>
      </c>
      <c r="D288" s="674">
        <f t="shared" si="17"/>
        <v>13703601.652173914</v>
      </c>
      <c r="E288" s="730">
        <f t="shared" si="15"/>
        <v>344744.69565217389</v>
      </c>
      <c r="F288" s="674">
        <f t="shared" si="16"/>
        <v>13358856.95652174</v>
      </c>
      <c r="G288" s="1265">
        <f t="shared" si="12"/>
        <v>1710904.1678979837</v>
      </c>
      <c r="H288" s="1268">
        <f t="shared" si="13"/>
        <v>1710904.1678979837</v>
      </c>
      <c r="I288" s="727">
        <f t="shared" si="14"/>
        <v>0</v>
      </c>
      <c r="J288" s="727"/>
      <c r="K288" s="877"/>
      <c r="L288" s="733"/>
      <c r="M288" s="877"/>
      <c r="N288" s="733"/>
      <c r="O288" s="733"/>
    </row>
    <row r="289" spans="2:15">
      <c r="B289" s="332"/>
      <c r="C289" s="723">
        <f>IF(D275="","-",+C288+1)</f>
        <v>2022</v>
      </c>
      <c r="D289" s="674">
        <f t="shared" si="17"/>
        <v>13358856.95652174</v>
      </c>
      <c r="E289" s="730">
        <f t="shared" si="15"/>
        <v>344744.69565217389</v>
      </c>
      <c r="F289" s="674">
        <f t="shared" si="16"/>
        <v>13014112.260869566</v>
      </c>
      <c r="G289" s="1265">
        <f t="shared" si="12"/>
        <v>1676097.5571401285</v>
      </c>
      <c r="H289" s="1268">
        <f t="shared" si="13"/>
        <v>1676097.5571401285</v>
      </c>
      <c r="I289" s="727">
        <f t="shared" si="14"/>
        <v>0</v>
      </c>
      <c r="J289" s="727"/>
      <c r="K289" s="877"/>
      <c r="L289" s="733"/>
      <c r="M289" s="877"/>
      <c r="N289" s="733"/>
      <c r="O289" s="733"/>
    </row>
    <row r="290" spans="2:15">
      <c r="B290" s="332"/>
      <c r="C290" s="723">
        <f>IF(D275="","-",+C289+1)</f>
        <v>2023</v>
      </c>
      <c r="D290" s="674">
        <f t="shared" si="17"/>
        <v>13014112.260869566</v>
      </c>
      <c r="E290" s="730">
        <f t="shared" si="15"/>
        <v>344744.69565217389</v>
      </c>
      <c r="F290" s="674">
        <f t="shared" si="16"/>
        <v>12669367.565217393</v>
      </c>
      <c r="G290" s="1265">
        <f t="shared" si="12"/>
        <v>1641290.9463822735</v>
      </c>
      <c r="H290" s="1268">
        <f t="shared" si="13"/>
        <v>1641290.9463822735</v>
      </c>
      <c r="I290" s="727">
        <f t="shared" si="14"/>
        <v>0</v>
      </c>
      <c r="J290" s="727"/>
      <c r="K290" s="877"/>
      <c r="L290" s="733"/>
      <c r="M290" s="877"/>
      <c r="N290" s="733"/>
      <c r="O290" s="733"/>
    </row>
    <row r="291" spans="2:15">
      <c r="B291" s="332"/>
      <c r="C291" s="723">
        <f>IF(D275="","-",+C290+1)</f>
        <v>2024</v>
      </c>
      <c r="D291" s="674">
        <f t="shared" si="17"/>
        <v>12669367.565217393</v>
      </c>
      <c r="E291" s="730">
        <f t="shared" si="15"/>
        <v>344744.69565217389</v>
      </c>
      <c r="F291" s="674">
        <f t="shared" si="16"/>
        <v>12324622.869565219</v>
      </c>
      <c r="G291" s="1265">
        <f t="shared" si="12"/>
        <v>1606484.3356244185</v>
      </c>
      <c r="H291" s="1268">
        <f t="shared" si="13"/>
        <v>1606484.3356244185</v>
      </c>
      <c r="I291" s="727">
        <f t="shared" si="14"/>
        <v>0</v>
      </c>
      <c r="J291" s="727"/>
      <c r="K291" s="877"/>
      <c r="L291" s="733"/>
      <c r="M291" s="877"/>
      <c r="N291" s="733"/>
      <c r="O291" s="733"/>
    </row>
    <row r="292" spans="2:15">
      <c r="B292" s="332"/>
      <c r="C292" s="723">
        <f>IF(D275="","-",+C291+1)</f>
        <v>2025</v>
      </c>
      <c r="D292" s="674">
        <f t="shared" si="17"/>
        <v>12324622.869565219</v>
      </c>
      <c r="E292" s="730">
        <f t="shared" si="15"/>
        <v>344744.69565217389</v>
      </c>
      <c r="F292" s="674">
        <f t="shared" si="16"/>
        <v>11979878.173913045</v>
      </c>
      <c r="G292" s="1265">
        <f t="shared" si="12"/>
        <v>1571677.7248665635</v>
      </c>
      <c r="H292" s="1268">
        <f t="shared" si="13"/>
        <v>1571677.7248665635</v>
      </c>
      <c r="I292" s="727">
        <f t="shared" si="14"/>
        <v>0</v>
      </c>
      <c r="J292" s="727"/>
      <c r="K292" s="877"/>
      <c r="L292" s="733"/>
      <c r="M292" s="877"/>
      <c r="N292" s="733"/>
      <c r="O292" s="733"/>
    </row>
    <row r="293" spans="2:15">
      <c r="B293" s="332"/>
      <c r="C293" s="723">
        <f>IF(D275="","-",+C292+1)</f>
        <v>2026</v>
      </c>
      <c r="D293" s="674">
        <f t="shared" si="17"/>
        <v>11979878.173913045</v>
      </c>
      <c r="E293" s="730">
        <f t="shared" si="15"/>
        <v>344744.69565217389</v>
      </c>
      <c r="F293" s="674">
        <f t="shared" si="16"/>
        <v>11635133.478260871</v>
      </c>
      <c r="G293" s="1265">
        <f t="shared" si="12"/>
        <v>1536871.1141087082</v>
      </c>
      <c r="H293" s="1268">
        <f t="shared" si="13"/>
        <v>1536871.1141087082</v>
      </c>
      <c r="I293" s="727">
        <f t="shared" si="14"/>
        <v>0</v>
      </c>
      <c r="J293" s="727"/>
      <c r="K293" s="877"/>
      <c r="L293" s="733"/>
      <c r="M293" s="877"/>
      <c r="N293" s="734"/>
      <c r="O293" s="733"/>
    </row>
    <row r="294" spans="2:15">
      <c r="B294" s="332"/>
      <c r="C294" s="723">
        <f>IF(D275="","-",+C293+1)</f>
        <v>2027</v>
      </c>
      <c r="D294" s="674">
        <f t="shared" si="17"/>
        <v>11635133.478260871</v>
      </c>
      <c r="E294" s="730">
        <f t="shared" si="15"/>
        <v>344744.69565217389</v>
      </c>
      <c r="F294" s="674">
        <f t="shared" si="16"/>
        <v>11290388.782608697</v>
      </c>
      <c r="G294" s="1265">
        <f t="shared" si="12"/>
        <v>1502064.5033508535</v>
      </c>
      <c r="H294" s="1268">
        <f t="shared" si="13"/>
        <v>1502064.5033508535</v>
      </c>
      <c r="I294" s="727">
        <f t="shared" si="14"/>
        <v>0</v>
      </c>
      <c r="J294" s="727"/>
      <c r="K294" s="877"/>
      <c r="L294" s="733"/>
      <c r="M294" s="877"/>
      <c r="N294" s="733"/>
      <c r="O294" s="733"/>
    </row>
    <row r="295" spans="2:15">
      <c r="B295" s="332"/>
      <c r="C295" s="723">
        <f>IF(D275="","-",+C294+1)</f>
        <v>2028</v>
      </c>
      <c r="D295" s="674">
        <f t="shared" si="17"/>
        <v>11290388.782608697</v>
      </c>
      <c r="E295" s="730">
        <f t="shared" si="15"/>
        <v>344744.69565217389</v>
      </c>
      <c r="F295" s="674">
        <f t="shared" si="16"/>
        <v>10945644.086956523</v>
      </c>
      <c r="G295" s="1265">
        <f t="shared" si="12"/>
        <v>1467257.8925929982</v>
      </c>
      <c r="H295" s="1268">
        <f t="shared" si="13"/>
        <v>1467257.8925929982</v>
      </c>
      <c r="I295" s="727">
        <f t="shared" si="14"/>
        <v>0</v>
      </c>
      <c r="J295" s="727"/>
      <c r="K295" s="877"/>
      <c r="L295" s="733"/>
      <c r="M295" s="877"/>
      <c r="N295" s="733"/>
      <c r="O295" s="733"/>
    </row>
    <row r="296" spans="2:15">
      <c r="B296" s="332"/>
      <c r="C296" s="723">
        <f>IF(D275="","-",+C295+1)</f>
        <v>2029</v>
      </c>
      <c r="D296" s="674">
        <f t="shared" si="17"/>
        <v>10945644.086956523</v>
      </c>
      <c r="E296" s="730">
        <f t="shared" si="15"/>
        <v>344744.69565217389</v>
      </c>
      <c r="F296" s="674">
        <f t="shared" si="16"/>
        <v>10600899.39130435</v>
      </c>
      <c r="G296" s="1265">
        <f t="shared" si="12"/>
        <v>1432451.2818351435</v>
      </c>
      <c r="H296" s="1268">
        <f t="shared" si="13"/>
        <v>1432451.2818351435</v>
      </c>
      <c r="I296" s="727">
        <f t="shared" si="14"/>
        <v>0</v>
      </c>
      <c r="J296" s="727"/>
      <c r="K296" s="877"/>
      <c r="L296" s="733"/>
      <c r="M296" s="877"/>
      <c r="N296" s="733"/>
      <c r="O296" s="733"/>
    </row>
    <row r="297" spans="2:15">
      <c r="B297" s="332"/>
      <c r="C297" s="723">
        <f>IF(D275="","-",+C296+1)</f>
        <v>2030</v>
      </c>
      <c r="D297" s="674">
        <f t="shared" si="17"/>
        <v>10600899.39130435</v>
      </c>
      <c r="E297" s="730">
        <f t="shared" si="15"/>
        <v>344744.69565217389</v>
      </c>
      <c r="F297" s="674">
        <f t="shared" si="16"/>
        <v>10256154.695652176</v>
      </c>
      <c r="G297" s="1265">
        <f t="shared" si="12"/>
        <v>1397644.6710772882</v>
      </c>
      <c r="H297" s="1268">
        <f t="shared" si="13"/>
        <v>1397644.6710772882</v>
      </c>
      <c r="I297" s="727">
        <f t="shared" si="14"/>
        <v>0</v>
      </c>
      <c r="J297" s="727"/>
      <c r="K297" s="877"/>
      <c r="L297" s="733"/>
      <c r="M297" s="877"/>
      <c r="N297" s="733"/>
      <c r="O297" s="733"/>
    </row>
    <row r="298" spans="2:15">
      <c r="B298" s="332"/>
      <c r="C298" s="723">
        <f>IF(D275="","-",+C297+1)</f>
        <v>2031</v>
      </c>
      <c r="D298" s="674">
        <f t="shared" si="17"/>
        <v>10256154.695652176</v>
      </c>
      <c r="E298" s="730">
        <f t="shared" si="15"/>
        <v>344744.69565217389</v>
      </c>
      <c r="F298" s="674">
        <f t="shared" si="16"/>
        <v>9911410.0000000019</v>
      </c>
      <c r="G298" s="1265">
        <f t="shared" si="12"/>
        <v>1362838.0603194335</v>
      </c>
      <c r="H298" s="1268">
        <f t="shared" si="13"/>
        <v>1362838.0603194335</v>
      </c>
      <c r="I298" s="727">
        <f t="shared" si="14"/>
        <v>0</v>
      </c>
      <c r="J298" s="727"/>
      <c r="K298" s="877"/>
      <c r="L298" s="733"/>
      <c r="M298" s="877"/>
      <c r="N298" s="733"/>
      <c r="O298" s="733"/>
    </row>
    <row r="299" spans="2:15">
      <c r="B299" s="332"/>
      <c r="C299" s="723">
        <f>IF(D275="","-",+C298+1)</f>
        <v>2032</v>
      </c>
      <c r="D299" s="674">
        <f t="shared" si="17"/>
        <v>9911410.0000000019</v>
      </c>
      <c r="E299" s="730">
        <f t="shared" si="15"/>
        <v>344744.69565217389</v>
      </c>
      <c r="F299" s="674">
        <f t="shared" si="16"/>
        <v>9566665.304347828</v>
      </c>
      <c r="G299" s="1265">
        <f t="shared" si="12"/>
        <v>1328031.4495615782</v>
      </c>
      <c r="H299" s="1268">
        <f t="shared" si="13"/>
        <v>1328031.4495615782</v>
      </c>
      <c r="I299" s="727">
        <f t="shared" si="14"/>
        <v>0</v>
      </c>
      <c r="J299" s="727"/>
      <c r="K299" s="877"/>
      <c r="L299" s="733"/>
      <c r="M299" s="877"/>
      <c r="N299" s="733"/>
      <c r="O299" s="733"/>
    </row>
    <row r="300" spans="2:15">
      <c r="B300" s="332"/>
      <c r="C300" s="723">
        <f>IF(D275="","-",+C299+1)</f>
        <v>2033</v>
      </c>
      <c r="D300" s="674">
        <f t="shared" si="17"/>
        <v>9566665.304347828</v>
      </c>
      <c r="E300" s="730">
        <f t="shared" si="15"/>
        <v>344744.69565217389</v>
      </c>
      <c r="F300" s="674">
        <f t="shared" si="16"/>
        <v>9221920.6086956542</v>
      </c>
      <c r="G300" s="1265">
        <f t="shared" si="12"/>
        <v>1293224.8388037235</v>
      </c>
      <c r="H300" s="1268">
        <f t="shared" si="13"/>
        <v>1293224.8388037235</v>
      </c>
      <c r="I300" s="727">
        <f t="shared" si="14"/>
        <v>0</v>
      </c>
      <c r="J300" s="727"/>
      <c r="K300" s="877"/>
      <c r="L300" s="733"/>
      <c r="M300" s="877"/>
      <c r="N300" s="733"/>
      <c r="O300" s="733"/>
    </row>
    <row r="301" spans="2:15">
      <c r="B301" s="332"/>
      <c r="C301" s="723">
        <f>IF(D275="","-",+C300+1)</f>
        <v>2034</v>
      </c>
      <c r="D301" s="674">
        <f t="shared" si="17"/>
        <v>9221920.6086956542</v>
      </c>
      <c r="E301" s="730">
        <f t="shared" si="15"/>
        <v>344744.69565217389</v>
      </c>
      <c r="F301" s="674">
        <f t="shared" si="16"/>
        <v>8877175.9130434804</v>
      </c>
      <c r="G301" s="1265">
        <f t="shared" si="12"/>
        <v>1258418.2280458682</v>
      </c>
      <c r="H301" s="1268">
        <f t="shared" si="13"/>
        <v>1258418.2280458682</v>
      </c>
      <c r="I301" s="727">
        <f t="shared" si="14"/>
        <v>0</v>
      </c>
      <c r="J301" s="727"/>
      <c r="K301" s="877"/>
      <c r="L301" s="733"/>
      <c r="M301" s="877"/>
      <c r="N301" s="733"/>
      <c r="O301" s="733"/>
    </row>
    <row r="302" spans="2:15">
      <c r="B302" s="332"/>
      <c r="C302" s="723">
        <f>IF(D275="","-",+C301+1)</f>
        <v>2035</v>
      </c>
      <c r="D302" s="674">
        <f t="shared" si="17"/>
        <v>8877175.9130434804</v>
      </c>
      <c r="E302" s="730">
        <f t="shared" si="15"/>
        <v>344744.69565217389</v>
      </c>
      <c r="F302" s="674">
        <f t="shared" si="16"/>
        <v>8532431.2173913065</v>
      </c>
      <c r="G302" s="1265">
        <f t="shared" si="12"/>
        <v>1223611.6172880135</v>
      </c>
      <c r="H302" s="1268">
        <f t="shared" si="13"/>
        <v>1223611.6172880135</v>
      </c>
      <c r="I302" s="727">
        <f t="shared" si="14"/>
        <v>0</v>
      </c>
      <c r="J302" s="727"/>
      <c r="K302" s="877"/>
      <c r="L302" s="733"/>
      <c r="M302" s="877"/>
      <c r="N302" s="733"/>
      <c r="O302" s="733"/>
    </row>
    <row r="303" spans="2:15">
      <c r="B303" s="332"/>
      <c r="C303" s="723">
        <f>IF(D275="","-",+C302+1)</f>
        <v>2036</v>
      </c>
      <c r="D303" s="674">
        <f t="shared" si="17"/>
        <v>8532431.2173913065</v>
      </c>
      <c r="E303" s="730">
        <f t="shared" si="15"/>
        <v>344744.69565217389</v>
      </c>
      <c r="F303" s="674">
        <f t="shared" si="16"/>
        <v>8187686.5217391327</v>
      </c>
      <c r="G303" s="1265">
        <f t="shared" si="12"/>
        <v>1188805.0065301585</v>
      </c>
      <c r="H303" s="1268">
        <f t="shared" si="13"/>
        <v>1188805.0065301585</v>
      </c>
      <c r="I303" s="727">
        <f t="shared" si="14"/>
        <v>0</v>
      </c>
      <c r="J303" s="727"/>
      <c r="K303" s="877"/>
      <c r="L303" s="733"/>
      <c r="M303" s="877"/>
      <c r="N303" s="733"/>
      <c r="O303" s="733"/>
    </row>
    <row r="304" spans="2:15">
      <c r="B304" s="332"/>
      <c r="C304" s="723">
        <f>IF(D275="","-",+C303+1)</f>
        <v>2037</v>
      </c>
      <c r="D304" s="674">
        <f t="shared" si="17"/>
        <v>8187686.5217391327</v>
      </c>
      <c r="E304" s="730">
        <f t="shared" si="15"/>
        <v>344744.69565217389</v>
      </c>
      <c r="F304" s="674">
        <f t="shared" si="16"/>
        <v>7842941.8260869589</v>
      </c>
      <c r="G304" s="1265">
        <f t="shared" si="12"/>
        <v>1153998.3957723035</v>
      </c>
      <c r="H304" s="1268">
        <f t="shared" si="13"/>
        <v>1153998.3957723035</v>
      </c>
      <c r="I304" s="727">
        <f t="shared" si="14"/>
        <v>0</v>
      </c>
      <c r="J304" s="727"/>
      <c r="K304" s="877"/>
      <c r="L304" s="733"/>
      <c r="M304" s="877"/>
      <c r="N304" s="733"/>
      <c r="O304" s="733"/>
    </row>
    <row r="305" spans="2:15">
      <c r="B305" s="332"/>
      <c r="C305" s="723">
        <f>IF(D275="","-",+C304+1)</f>
        <v>2038</v>
      </c>
      <c r="D305" s="674">
        <f t="shared" si="17"/>
        <v>7842941.8260869589</v>
      </c>
      <c r="E305" s="730">
        <f t="shared" si="15"/>
        <v>344744.69565217389</v>
      </c>
      <c r="F305" s="674">
        <f t="shared" si="16"/>
        <v>7498197.130434785</v>
      </c>
      <c r="G305" s="1265">
        <f t="shared" si="12"/>
        <v>1119191.7850144482</v>
      </c>
      <c r="H305" s="1268">
        <f t="shared" si="13"/>
        <v>1119191.7850144482</v>
      </c>
      <c r="I305" s="727">
        <f t="shared" si="14"/>
        <v>0</v>
      </c>
      <c r="J305" s="727"/>
      <c r="K305" s="877"/>
      <c r="L305" s="733"/>
      <c r="M305" s="877"/>
      <c r="N305" s="733"/>
      <c r="O305" s="733"/>
    </row>
    <row r="306" spans="2:15">
      <c r="B306" s="332"/>
      <c r="C306" s="723">
        <f>IF(D275="","-",+C305+1)</f>
        <v>2039</v>
      </c>
      <c r="D306" s="674">
        <f t="shared" si="17"/>
        <v>7498197.130434785</v>
      </c>
      <c r="E306" s="730">
        <f t="shared" si="15"/>
        <v>344744.69565217389</v>
      </c>
      <c r="F306" s="674">
        <f t="shared" si="16"/>
        <v>7153452.4347826112</v>
      </c>
      <c r="G306" s="1265">
        <f t="shared" si="12"/>
        <v>1084385.1742565932</v>
      </c>
      <c r="H306" s="1268">
        <f t="shared" si="13"/>
        <v>1084385.1742565932</v>
      </c>
      <c r="I306" s="727">
        <f t="shared" si="14"/>
        <v>0</v>
      </c>
      <c r="J306" s="727"/>
      <c r="K306" s="877"/>
      <c r="L306" s="733"/>
      <c r="M306" s="877"/>
      <c r="N306" s="733"/>
      <c r="O306" s="733"/>
    </row>
    <row r="307" spans="2:15">
      <c r="B307" s="332"/>
      <c r="C307" s="723">
        <f>IF(D275="","-",+C306+1)</f>
        <v>2040</v>
      </c>
      <c r="D307" s="674">
        <f t="shared" si="17"/>
        <v>7153452.4347826112</v>
      </c>
      <c r="E307" s="730">
        <f t="shared" si="15"/>
        <v>344744.69565217389</v>
      </c>
      <c r="F307" s="674">
        <f t="shared" si="16"/>
        <v>6808707.7391304374</v>
      </c>
      <c r="G307" s="1265">
        <f t="shared" si="12"/>
        <v>1049578.5634987382</v>
      </c>
      <c r="H307" s="1268">
        <f t="shared" si="13"/>
        <v>1049578.5634987382</v>
      </c>
      <c r="I307" s="727">
        <f t="shared" si="14"/>
        <v>0</v>
      </c>
      <c r="J307" s="727"/>
      <c r="K307" s="877"/>
      <c r="L307" s="733"/>
      <c r="M307" s="877"/>
      <c r="N307" s="733"/>
      <c r="O307" s="733"/>
    </row>
    <row r="308" spans="2:15">
      <c r="B308" s="332"/>
      <c r="C308" s="723">
        <f>IF(D275="","-",+C307+1)</f>
        <v>2041</v>
      </c>
      <c r="D308" s="674">
        <f t="shared" si="17"/>
        <v>6808707.7391304374</v>
      </c>
      <c r="E308" s="730">
        <f t="shared" si="15"/>
        <v>344744.69565217389</v>
      </c>
      <c r="F308" s="674">
        <f t="shared" si="16"/>
        <v>6463963.0434782635</v>
      </c>
      <c r="G308" s="1265">
        <f t="shared" si="12"/>
        <v>1014771.9527408832</v>
      </c>
      <c r="H308" s="1268">
        <f t="shared" si="13"/>
        <v>1014771.9527408832</v>
      </c>
      <c r="I308" s="727">
        <f t="shared" si="14"/>
        <v>0</v>
      </c>
      <c r="J308" s="727"/>
      <c r="K308" s="877"/>
      <c r="L308" s="733"/>
      <c r="M308" s="877"/>
      <c r="N308" s="733"/>
      <c r="O308" s="733"/>
    </row>
    <row r="309" spans="2:15">
      <c r="B309" s="332"/>
      <c r="C309" s="723">
        <f>IF(D275="","-",+C308+1)</f>
        <v>2042</v>
      </c>
      <c r="D309" s="674">
        <f t="shared" si="17"/>
        <v>6463963.0434782635</v>
      </c>
      <c r="E309" s="730">
        <f t="shared" si="15"/>
        <v>344744.69565217389</v>
      </c>
      <c r="F309" s="674">
        <f t="shared" si="16"/>
        <v>6119218.3478260897</v>
      </c>
      <c r="G309" s="1274">
        <f t="shared" si="12"/>
        <v>979965.34198302822</v>
      </c>
      <c r="H309" s="1268">
        <f t="shared" si="13"/>
        <v>979965.34198302822</v>
      </c>
      <c r="I309" s="727">
        <f t="shared" si="14"/>
        <v>0</v>
      </c>
      <c r="J309" s="727"/>
      <c r="K309" s="877"/>
      <c r="L309" s="733"/>
      <c r="M309" s="877"/>
      <c r="N309" s="733"/>
      <c r="O309" s="733"/>
    </row>
    <row r="310" spans="2:15">
      <c r="B310" s="332"/>
      <c r="C310" s="723">
        <f>IF(D275="","-",+C309+1)</f>
        <v>2043</v>
      </c>
      <c r="D310" s="674">
        <f t="shared" si="17"/>
        <v>6119218.3478260897</v>
      </c>
      <c r="E310" s="730">
        <f t="shared" si="15"/>
        <v>344744.69565217389</v>
      </c>
      <c r="F310" s="674">
        <f t="shared" si="16"/>
        <v>5774473.6521739159</v>
      </c>
      <c r="G310" s="1265">
        <f t="shared" si="12"/>
        <v>945158.73122517322</v>
      </c>
      <c r="H310" s="1268">
        <f t="shared" si="13"/>
        <v>945158.73122517322</v>
      </c>
      <c r="I310" s="727">
        <f t="shared" si="14"/>
        <v>0</v>
      </c>
      <c r="J310" s="727"/>
      <c r="K310" s="877"/>
      <c r="L310" s="733"/>
      <c r="M310" s="877"/>
      <c r="N310" s="733"/>
      <c r="O310" s="733"/>
    </row>
    <row r="311" spans="2:15">
      <c r="B311" s="332"/>
      <c r="C311" s="723">
        <f>IF(D275="","-",+C310+1)</f>
        <v>2044</v>
      </c>
      <c r="D311" s="674">
        <f t="shared" si="17"/>
        <v>5774473.6521739159</v>
      </c>
      <c r="E311" s="730">
        <f t="shared" si="15"/>
        <v>344744.69565217389</v>
      </c>
      <c r="F311" s="674">
        <f t="shared" si="16"/>
        <v>5429728.956521742</v>
      </c>
      <c r="G311" s="1265">
        <f t="shared" si="12"/>
        <v>910352.12046731822</v>
      </c>
      <c r="H311" s="1268">
        <f t="shared" si="13"/>
        <v>910352.12046731822</v>
      </c>
      <c r="I311" s="727">
        <f t="shared" si="14"/>
        <v>0</v>
      </c>
      <c r="J311" s="727"/>
      <c r="K311" s="877"/>
      <c r="L311" s="733"/>
      <c r="M311" s="877"/>
      <c r="N311" s="733"/>
      <c r="O311" s="733"/>
    </row>
    <row r="312" spans="2:15">
      <c r="B312" s="332"/>
      <c r="C312" s="723">
        <f>IF(D275="","-",+C311+1)</f>
        <v>2045</v>
      </c>
      <c r="D312" s="674">
        <f t="shared" si="17"/>
        <v>5429728.956521742</v>
      </c>
      <c r="E312" s="730">
        <f t="shared" si="15"/>
        <v>344744.69565217389</v>
      </c>
      <c r="F312" s="674">
        <f t="shared" si="16"/>
        <v>5084984.2608695682</v>
      </c>
      <c r="G312" s="1265">
        <f t="shared" si="12"/>
        <v>875545.50970946322</v>
      </c>
      <c r="H312" s="1268">
        <f t="shared" si="13"/>
        <v>875545.50970946322</v>
      </c>
      <c r="I312" s="727">
        <f t="shared" si="14"/>
        <v>0</v>
      </c>
      <c r="J312" s="727"/>
      <c r="K312" s="877"/>
      <c r="L312" s="733"/>
      <c r="M312" s="877"/>
      <c r="N312" s="733"/>
      <c r="O312" s="733"/>
    </row>
    <row r="313" spans="2:15">
      <c r="B313" s="332"/>
      <c r="C313" s="723">
        <f>IF(D275="","-",+C312+1)</f>
        <v>2046</v>
      </c>
      <c r="D313" s="674">
        <f t="shared" si="17"/>
        <v>5084984.2608695682</v>
      </c>
      <c r="E313" s="730">
        <f t="shared" si="15"/>
        <v>344744.69565217389</v>
      </c>
      <c r="F313" s="674">
        <f t="shared" si="16"/>
        <v>4740239.5652173944</v>
      </c>
      <c r="G313" s="1265">
        <f t="shared" si="12"/>
        <v>840738.89895160822</v>
      </c>
      <c r="H313" s="1268">
        <f t="shared" si="13"/>
        <v>840738.89895160822</v>
      </c>
      <c r="I313" s="727">
        <f t="shared" si="14"/>
        <v>0</v>
      </c>
      <c r="J313" s="727"/>
      <c r="K313" s="877"/>
      <c r="L313" s="733"/>
      <c r="M313" s="877"/>
      <c r="N313" s="733"/>
      <c r="O313" s="733"/>
    </row>
    <row r="314" spans="2:15">
      <c r="B314" s="332"/>
      <c r="C314" s="723">
        <f>IF(D275="","-",+C313+1)</f>
        <v>2047</v>
      </c>
      <c r="D314" s="674">
        <f t="shared" si="17"/>
        <v>4740239.5652173944</v>
      </c>
      <c r="E314" s="730">
        <f t="shared" si="15"/>
        <v>344744.69565217389</v>
      </c>
      <c r="F314" s="674">
        <f t="shared" si="16"/>
        <v>4395494.8695652205</v>
      </c>
      <c r="G314" s="1265">
        <f t="shared" si="12"/>
        <v>805932.28819375322</v>
      </c>
      <c r="H314" s="1268">
        <f t="shared" si="13"/>
        <v>805932.28819375322</v>
      </c>
      <c r="I314" s="727">
        <f t="shared" si="14"/>
        <v>0</v>
      </c>
      <c r="J314" s="727"/>
      <c r="K314" s="877"/>
      <c r="L314" s="733"/>
      <c r="M314" s="877"/>
      <c r="N314" s="733"/>
      <c r="O314" s="733"/>
    </row>
    <row r="315" spans="2:15">
      <c r="B315" s="332"/>
      <c r="C315" s="723">
        <f>IF(D275="","-",+C314+1)</f>
        <v>2048</v>
      </c>
      <c r="D315" s="674">
        <f t="shared" si="17"/>
        <v>4395494.8695652205</v>
      </c>
      <c r="E315" s="730">
        <f t="shared" si="15"/>
        <v>344744.69565217389</v>
      </c>
      <c r="F315" s="674">
        <f t="shared" si="16"/>
        <v>4050750.1739130467</v>
      </c>
      <c r="G315" s="1265">
        <f t="shared" si="12"/>
        <v>771125.67743589822</v>
      </c>
      <c r="H315" s="1268">
        <f t="shared" si="13"/>
        <v>771125.67743589822</v>
      </c>
      <c r="I315" s="727">
        <f t="shared" si="14"/>
        <v>0</v>
      </c>
      <c r="J315" s="727"/>
      <c r="K315" s="877"/>
      <c r="L315" s="733"/>
      <c r="M315" s="877"/>
      <c r="N315" s="733"/>
      <c r="O315" s="733"/>
    </row>
    <row r="316" spans="2:15">
      <c r="B316" s="332"/>
      <c r="C316" s="723">
        <f>IF(D275="","-",+C315+1)</f>
        <v>2049</v>
      </c>
      <c r="D316" s="674">
        <f t="shared" si="17"/>
        <v>4050750.1739130467</v>
      </c>
      <c r="E316" s="730">
        <f t="shared" si="15"/>
        <v>344744.69565217389</v>
      </c>
      <c r="F316" s="674">
        <f t="shared" si="16"/>
        <v>3706005.4782608729</v>
      </c>
      <c r="G316" s="1265">
        <f t="shared" si="12"/>
        <v>736319.06667804322</v>
      </c>
      <c r="H316" s="1268">
        <f t="shared" si="13"/>
        <v>736319.06667804322</v>
      </c>
      <c r="I316" s="727">
        <f t="shared" si="14"/>
        <v>0</v>
      </c>
      <c r="J316" s="727"/>
      <c r="K316" s="877"/>
      <c r="L316" s="733"/>
      <c r="M316" s="877"/>
      <c r="N316" s="733"/>
      <c r="O316" s="733"/>
    </row>
    <row r="317" spans="2:15">
      <c r="B317" s="332"/>
      <c r="C317" s="723">
        <f>IF(D275="","-",+C316+1)</f>
        <v>2050</v>
      </c>
      <c r="D317" s="674">
        <f t="shared" si="17"/>
        <v>3706005.4782608729</v>
      </c>
      <c r="E317" s="730">
        <f t="shared" si="15"/>
        <v>344744.69565217389</v>
      </c>
      <c r="F317" s="674">
        <f t="shared" si="16"/>
        <v>3361260.7826086991</v>
      </c>
      <c r="G317" s="1265">
        <f t="shared" si="12"/>
        <v>701512.45592018822</v>
      </c>
      <c r="H317" s="1268">
        <f t="shared" si="13"/>
        <v>701512.45592018822</v>
      </c>
      <c r="I317" s="727">
        <f t="shared" si="14"/>
        <v>0</v>
      </c>
      <c r="J317" s="727"/>
      <c r="K317" s="877"/>
      <c r="L317" s="733"/>
      <c r="M317" s="877"/>
      <c r="N317" s="733"/>
      <c r="O317" s="733"/>
    </row>
    <row r="318" spans="2:15">
      <c r="B318" s="332"/>
      <c r="C318" s="723">
        <f>IF(D275="","-",+C317+1)</f>
        <v>2051</v>
      </c>
      <c r="D318" s="674">
        <f t="shared" si="17"/>
        <v>3361260.7826086991</v>
      </c>
      <c r="E318" s="730">
        <f t="shared" si="15"/>
        <v>344744.69565217389</v>
      </c>
      <c r="F318" s="674">
        <f t="shared" si="16"/>
        <v>3016516.0869565252</v>
      </c>
      <c r="G318" s="1265">
        <f t="shared" si="12"/>
        <v>666705.84516233322</v>
      </c>
      <c r="H318" s="1268">
        <f t="shared" si="13"/>
        <v>666705.84516233322</v>
      </c>
      <c r="I318" s="727">
        <f t="shared" si="14"/>
        <v>0</v>
      </c>
      <c r="J318" s="727"/>
      <c r="K318" s="877"/>
      <c r="L318" s="733"/>
      <c r="M318" s="877"/>
      <c r="N318" s="733"/>
      <c r="O318" s="733"/>
    </row>
    <row r="319" spans="2:15">
      <c r="B319" s="332"/>
      <c r="C319" s="723">
        <f>IF(D275="","-",+C318+1)</f>
        <v>2052</v>
      </c>
      <c r="D319" s="674">
        <f t="shared" si="17"/>
        <v>3016516.0869565252</v>
      </c>
      <c r="E319" s="730">
        <f t="shared" si="15"/>
        <v>344744.69565217389</v>
      </c>
      <c r="F319" s="674">
        <f t="shared" si="16"/>
        <v>2671771.3913043514</v>
      </c>
      <c r="G319" s="1265">
        <f t="shared" si="12"/>
        <v>631899.23440447822</v>
      </c>
      <c r="H319" s="1268">
        <f t="shared" si="13"/>
        <v>631899.23440447822</v>
      </c>
      <c r="I319" s="727">
        <f t="shared" si="14"/>
        <v>0</v>
      </c>
      <c r="J319" s="727"/>
      <c r="K319" s="877"/>
      <c r="L319" s="733"/>
      <c r="M319" s="877"/>
      <c r="N319" s="733"/>
      <c r="O319" s="733"/>
    </row>
    <row r="320" spans="2:15">
      <c r="B320" s="332"/>
      <c r="C320" s="723">
        <f>IF(D275="","-",+C319+1)</f>
        <v>2053</v>
      </c>
      <c r="D320" s="674">
        <f t="shared" si="17"/>
        <v>2671771.3913043514</v>
      </c>
      <c r="E320" s="730">
        <f t="shared" si="15"/>
        <v>344744.69565217389</v>
      </c>
      <c r="F320" s="674">
        <f t="shared" si="16"/>
        <v>2327026.6956521776</v>
      </c>
      <c r="G320" s="1265">
        <f t="shared" si="12"/>
        <v>597092.62364662322</v>
      </c>
      <c r="H320" s="1268">
        <f t="shared" si="13"/>
        <v>597092.62364662322</v>
      </c>
      <c r="I320" s="727">
        <f t="shared" si="14"/>
        <v>0</v>
      </c>
      <c r="J320" s="727"/>
      <c r="K320" s="877"/>
      <c r="L320" s="733"/>
      <c r="M320" s="877"/>
      <c r="N320" s="733"/>
      <c r="O320" s="733"/>
    </row>
    <row r="321" spans="2:15">
      <c r="B321" s="332"/>
      <c r="C321" s="723">
        <f>IF(D275="","-",+C320+1)</f>
        <v>2054</v>
      </c>
      <c r="D321" s="674">
        <f t="shared" si="17"/>
        <v>2327026.6956521776</v>
      </c>
      <c r="E321" s="730">
        <f t="shared" si="15"/>
        <v>344744.69565217389</v>
      </c>
      <c r="F321" s="674">
        <f t="shared" si="16"/>
        <v>1982282.0000000037</v>
      </c>
      <c r="G321" s="1265">
        <f t="shared" si="12"/>
        <v>562286.01288876811</v>
      </c>
      <c r="H321" s="1268">
        <f t="shared" si="13"/>
        <v>562286.01288876811</v>
      </c>
      <c r="I321" s="727">
        <f t="shared" si="14"/>
        <v>0</v>
      </c>
      <c r="J321" s="727"/>
      <c r="K321" s="877"/>
      <c r="L321" s="733"/>
      <c r="M321" s="877"/>
      <c r="N321" s="733"/>
      <c r="O321" s="733"/>
    </row>
    <row r="322" spans="2:15">
      <c r="B322" s="332"/>
      <c r="C322" s="723">
        <f>IF(D275="","-",+C321+1)</f>
        <v>2055</v>
      </c>
      <c r="D322" s="674">
        <f t="shared" si="17"/>
        <v>1982282.0000000037</v>
      </c>
      <c r="E322" s="730">
        <f t="shared" si="15"/>
        <v>344744.69565217389</v>
      </c>
      <c r="F322" s="674">
        <f t="shared" si="16"/>
        <v>1637537.3043478299</v>
      </c>
      <c r="G322" s="1265">
        <f t="shared" si="12"/>
        <v>527479.40213091311</v>
      </c>
      <c r="H322" s="1268">
        <f t="shared" si="13"/>
        <v>527479.40213091311</v>
      </c>
      <c r="I322" s="727">
        <f t="shared" si="14"/>
        <v>0</v>
      </c>
      <c r="J322" s="727"/>
      <c r="K322" s="877"/>
      <c r="L322" s="733"/>
      <c r="M322" s="877"/>
      <c r="N322" s="733"/>
      <c r="O322" s="733"/>
    </row>
    <row r="323" spans="2:15">
      <c r="B323" s="332"/>
      <c r="C323" s="723">
        <f>IF(D275="","-",+C322+1)</f>
        <v>2056</v>
      </c>
      <c r="D323" s="674">
        <f t="shared" si="17"/>
        <v>1637537.3043478299</v>
      </c>
      <c r="E323" s="730">
        <f t="shared" si="15"/>
        <v>344744.69565217389</v>
      </c>
      <c r="F323" s="674">
        <f t="shared" si="16"/>
        <v>1292792.6086956561</v>
      </c>
      <c r="G323" s="1265">
        <f t="shared" si="12"/>
        <v>492672.79137305811</v>
      </c>
      <c r="H323" s="1268">
        <f t="shared" si="13"/>
        <v>492672.79137305811</v>
      </c>
      <c r="I323" s="727">
        <f t="shared" si="14"/>
        <v>0</v>
      </c>
      <c r="J323" s="727"/>
      <c r="K323" s="877"/>
      <c r="L323" s="733"/>
      <c r="M323" s="877"/>
      <c r="N323" s="733"/>
      <c r="O323" s="733"/>
    </row>
    <row r="324" spans="2:15">
      <c r="B324" s="332"/>
      <c r="C324" s="723">
        <f>IF(D275="","-",+C323+1)</f>
        <v>2057</v>
      </c>
      <c r="D324" s="674">
        <f t="shared" si="17"/>
        <v>1292792.6086956561</v>
      </c>
      <c r="E324" s="730">
        <f t="shared" si="15"/>
        <v>344744.69565217389</v>
      </c>
      <c r="F324" s="674">
        <f t="shared" si="16"/>
        <v>948047.91304348223</v>
      </c>
      <c r="G324" s="1265">
        <f t="shared" si="12"/>
        <v>457866.18061520311</v>
      </c>
      <c r="H324" s="1268">
        <f t="shared" si="13"/>
        <v>457866.18061520311</v>
      </c>
      <c r="I324" s="727">
        <f t="shared" si="14"/>
        <v>0</v>
      </c>
      <c r="J324" s="727"/>
      <c r="K324" s="877"/>
      <c r="L324" s="733"/>
      <c r="M324" s="877"/>
      <c r="N324" s="733"/>
      <c r="O324" s="733"/>
    </row>
    <row r="325" spans="2:15">
      <c r="B325" s="332"/>
      <c r="C325" s="723">
        <f>IF(D275="","-",+C324+1)</f>
        <v>2058</v>
      </c>
      <c r="D325" s="674">
        <f t="shared" si="17"/>
        <v>948047.91304348223</v>
      </c>
      <c r="E325" s="730">
        <f t="shared" si="15"/>
        <v>344744.69565217389</v>
      </c>
      <c r="F325" s="674">
        <f t="shared" si="16"/>
        <v>603303.2173913084</v>
      </c>
      <c r="G325" s="1265">
        <f t="shared" si="12"/>
        <v>423059.56985734811</v>
      </c>
      <c r="H325" s="1268">
        <f t="shared" si="13"/>
        <v>423059.56985734811</v>
      </c>
      <c r="I325" s="727">
        <f t="shared" si="14"/>
        <v>0</v>
      </c>
      <c r="J325" s="727"/>
      <c r="K325" s="877"/>
      <c r="L325" s="733"/>
      <c r="M325" s="877"/>
      <c r="N325" s="733"/>
      <c r="O325" s="733"/>
    </row>
    <row r="326" spans="2:15">
      <c r="B326" s="332"/>
      <c r="C326" s="723">
        <f>IF(D275="","-",+C325+1)</f>
        <v>2059</v>
      </c>
      <c r="D326" s="674">
        <f t="shared" si="17"/>
        <v>603303.2173913084</v>
      </c>
      <c r="E326" s="730">
        <f t="shared" si="15"/>
        <v>344744.69565217389</v>
      </c>
      <c r="F326" s="674">
        <f t="shared" si="16"/>
        <v>258558.52173913451</v>
      </c>
      <c r="G326" s="1265">
        <f t="shared" si="12"/>
        <v>388252.95909949311</v>
      </c>
      <c r="H326" s="1268">
        <f t="shared" si="13"/>
        <v>388252.95909949311</v>
      </c>
      <c r="I326" s="727">
        <f t="shared" si="14"/>
        <v>0</v>
      </c>
      <c r="J326" s="727"/>
      <c r="K326" s="877"/>
      <c r="L326" s="733"/>
      <c r="M326" s="877"/>
      <c r="N326" s="733"/>
      <c r="O326" s="733"/>
    </row>
    <row r="327" spans="2:15">
      <c r="B327" s="332"/>
      <c r="C327" s="723">
        <f>IF(D275="","-",+C326+1)</f>
        <v>2060</v>
      </c>
      <c r="D327" s="674">
        <f t="shared" si="17"/>
        <v>258558.52173913451</v>
      </c>
      <c r="E327" s="730">
        <f t="shared" si="15"/>
        <v>258558.52173913451</v>
      </c>
      <c r="F327" s="674">
        <f t="shared" si="16"/>
        <v>0</v>
      </c>
      <c r="G327" s="1265">
        <f t="shared" si="12"/>
        <v>271611.00077333034</v>
      </c>
      <c r="H327" s="1268">
        <f t="shared" si="13"/>
        <v>271611.00077333034</v>
      </c>
      <c r="I327" s="727">
        <f t="shared" si="14"/>
        <v>0</v>
      </c>
      <c r="J327" s="727"/>
      <c r="K327" s="877"/>
      <c r="L327" s="733"/>
      <c r="M327" s="877"/>
      <c r="N327" s="733"/>
      <c r="O327" s="733"/>
    </row>
    <row r="328" spans="2:15">
      <c r="B328" s="332"/>
      <c r="C328" s="723">
        <f>IF(D275="","-",+C327+1)</f>
        <v>2061</v>
      </c>
      <c r="D328" s="674">
        <f t="shared" si="17"/>
        <v>0</v>
      </c>
      <c r="E328" s="730">
        <f t="shared" si="15"/>
        <v>0</v>
      </c>
      <c r="F328" s="674">
        <f t="shared" si="16"/>
        <v>0</v>
      </c>
      <c r="G328" s="1265">
        <f t="shared" si="12"/>
        <v>0</v>
      </c>
      <c r="H328" s="1268">
        <f t="shared" si="13"/>
        <v>0</v>
      </c>
      <c r="I328" s="727">
        <f t="shared" si="14"/>
        <v>0</v>
      </c>
      <c r="J328" s="727"/>
      <c r="K328" s="877"/>
      <c r="L328" s="733"/>
      <c r="M328" s="877"/>
      <c r="N328" s="733"/>
      <c r="O328" s="733"/>
    </row>
    <row r="329" spans="2:15">
      <c r="B329" s="332"/>
      <c r="C329" s="723">
        <f>IF(D275="","-",+C328+1)</f>
        <v>2062</v>
      </c>
      <c r="D329" s="674">
        <f t="shared" si="17"/>
        <v>0</v>
      </c>
      <c r="E329" s="730">
        <f t="shared" si="15"/>
        <v>0</v>
      </c>
      <c r="F329" s="674">
        <f t="shared" si="16"/>
        <v>0</v>
      </c>
      <c r="G329" s="1265">
        <f t="shared" si="12"/>
        <v>0</v>
      </c>
      <c r="H329" s="1268">
        <f t="shared" si="13"/>
        <v>0</v>
      </c>
      <c r="I329" s="727">
        <f t="shared" si="14"/>
        <v>0</v>
      </c>
      <c r="J329" s="727"/>
      <c r="K329" s="877"/>
      <c r="L329" s="733"/>
      <c r="M329" s="877"/>
      <c r="N329" s="733"/>
      <c r="O329" s="733"/>
    </row>
    <row r="330" spans="2:15">
      <c r="B330" s="332"/>
      <c r="C330" s="723">
        <f>IF(D275="","-",+C329+1)</f>
        <v>2063</v>
      </c>
      <c r="D330" s="674">
        <f t="shared" si="17"/>
        <v>0</v>
      </c>
      <c r="E330" s="730">
        <f t="shared" si="15"/>
        <v>0</v>
      </c>
      <c r="F330" s="674">
        <f t="shared" si="16"/>
        <v>0</v>
      </c>
      <c r="G330" s="1265">
        <f t="shared" si="12"/>
        <v>0</v>
      </c>
      <c r="H330" s="1268">
        <f t="shared" si="13"/>
        <v>0</v>
      </c>
      <c r="I330" s="727">
        <f t="shared" si="14"/>
        <v>0</v>
      </c>
      <c r="J330" s="727"/>
      <c r="K330" s="877"/>
      <c r="L330" s="733"/>
      <c r="M330" s="877"/>
      <c r="N330" s="733"/>
      <c r="O330" s="733"/>
    </row>
    <row r="331" spans="2:15">
      <c r="B331" s="332"/>
      <c r="C331" s="723">
        <f>IF(D275="","-",+C330+1)</f>
        <v>2064</v>
      </c>
      <c r="D331" s="674">
        <f t="shared" si="17"/>
        <v>0</v>
      </c>
      <c r="E331" s="730">
        <f t="shared" si="15"/>
        <v>0</v>
      </c>
      <c r="F331" s="674">
        <f t="shared" si="16"/>
        <v>0</v>
      </c>
      <c r="G331" s="1265">
        <f t="shared" si="12"/>
        <v>0</v>
      </c>
      <c r="H331" s="1268">
        <f t="shared" si="13"/>
        <v>0</v>
      </c>
      <c r="I331" s="727">
        <f t="shared" si="14"/>
        <v>0</v>
      </c>
      <c r="J331" s="727"/>
      <c r="K331" s="877"/>
      <c r="L331" s="733"/>
      <c r="M331" s="877"/>
      <c r="N331" s="733"/>
      <c r="O331" s="733"/>
    </row>
    <row r="332" spans="2:15">
      <c r="B332" s="332"/>
      <c r="C332" s="723">
        <f>IF(D275="","-",+C331+1)</f>
        <v>2065</v>
      </c>
      <c r="D332" s="674">
        <f t="shared" si="17"/>
        <v>0</v>
      </c>
      <c r="E332" s="730">
        <f t="shared" si="15"/>
        <v>0</v>
      </c>
      <c r="F332" s="674">
        <f t="shared" si="16"/>
        <v>0</v>
      </c>
      <c r="G332" s="1265">
        <f t="shared" si="12"/>
        <v>0</v>
      </c>
      <c r="H332" s="1268">
        <f t="shared" si="13"/>
        <v>0</v>
      </c>
      <c r="I332" s="727">
        <f t="shared" si="14"/>
        <v>0</v>
      </c>
      <c r="J332" s="727"/>
      <c r="K332" s="877"/>
      <c r="L332" s="733"/>
      <c r="M332" s="877"/>
      <c r="N332" s="733"/>
      <c r="O332" s="733"/>
    </row>
    <row r="333" spans="2:15">
      <c r="B333" s="332"/>
      <c r="C333" s="723">
        <f>IF(D275="","-",+C332+1)</f>
        <v>2066</v>
      </c>
      <c r="D333" s="674">
        <f t="shared" si="17"/>
        <v>0</v>
      </c>
      <c r="E333" s="730">
        <f t="shared" si="15"/>
        <v>0</v>
      </c>
      <c r="F333" s="674">
        <f t="shared" si="16"/>
        <v>0</v>
      </c>
      <c r="G333" s="1265">
        <f t="shared" si="12"/>
        <v>0</v>
      </c>
      <c r="H333" s="1268">
        <f t="shared" si="13"/>
        <v>0</v>
      </c>
      <c r="I333" s="727">
        <f t="shared" si="14"/>
        <v>0</v>
      </c>
      <c r="J333" s="727"/>
      <c r="K333" s="877"/>
      <c r="L333" s="733"/>
      <c r="M333" s="877"/>
      <c r="N333" s="733"/>
      <c r="O333" s="733"/>
    </row>
    <row r="334" spans="2:15">
      <c r="B334" s="332"/>
      <c r="C334" s="723">
        <f>IF(D275="","-",+C333+1)</f>
        <v>2067</v>
      </c>
      <c r="D334" s="674">
        <f t="shared" si="17"/>
        <v>0</v>
      </c>
      <c r="E334" s="730">
        <f t="shared" si="15"/>
        <v>0</v>
      </c>
      <c r="F334" s="674">
        <f t="shared" si="16"/>
        <v>0</v>
      </c>
      <c r="G334" s="1265">
        <f t="shared" si="12"/>
        <v>0</v>
      </c>
      <c r="H334" s="1268">
        <f t="shared" si="13"/>
        <v>0</v>
      </c>
      <c r="I334" s="727">
        <f t="shared" si="14"/>
        <v>0</v>
      </c>
      <c r="J334" s="727"/>
      <c r="K334" s="877"/>
      <c r="L334" s="733"/>
      <c r="M334" s="877"/>
      <c r="N334" s="733"/>
      <c r="O334" s="733"/>
    </row>
    <row r="335" spans="2:15">
      <c r="B335" s="332"/>
      <c r="C335" s="723">
        <f>IF(D275="","-",+C334+1)</f>
        <v>2068</v>
      </c>
      <c r="D335" s="674">
        <f t="shared" si="17"/>
        <v>0</v>
      </c>
      <c r="E335" s="730">
        <f t="shared" si="15"/>
        <v>0</v>
      </c>
      <c r="F335" s="674">
        <f t="shared" si="16"/>
        <v>0</v>
      </c>
      <c r="G335" s="1265">
        <f t="shared" si="12"/>
        <v>0</v>
      </c>
      <c r="H335" s="1268">
        <f t="shared" si="13"/>
        <v>0</v>
      </c>
      <c r="I335" s="727">
        <f t="shared" si="14"/>
        <v>0</v>
      </c>
      <c r="J335" s="727"/>
      <c r="K335" s="877"/>
      <c r="L335" s="733"/>
      <c r="M335" s="877"/>
      <c r="N335" s="733"/>
      <c r="O335" s="733"/>
    </row>
    <row r="336" spans="2:15">
      <c r="B336" s="332"/>
      <c r="C336" s="723">
        <f>IF(D275="","-",+C335+1)</f>
        <v>2069</v>
      </c>
      <c r="D336" s="674">
        <f t="shared" si="17"/>
        <v>0</v>
      </c>
      <c r="E336" s="730">
        <f t="shared" si="15"/>
        <v>0</v>
      </c>
      <c r="F336" s="674">
        <f t="shared" si="16"/>
        <v>0</v>
      </c>
      <c r="G336" s="1265">
        <f t="shared" si="12"/>
        <v>0</v>
      </c>
      <c r="H336" s="1268">
        <f t="shared" si="13"/>
        <v>0</v>
      </c>
      <c r="I336" s="727">
        <f t="shared" si="14"/>
        <v>0</v>
      </c>
      <c r="J336" s="727"/>
      <c r="K336" s="877"/>
      <c r="L336" s="733"/>
      <c r="M336" s="877"/>
      <c r="N336" s="733"/>
      <c r="O336" s="733"/>
    </row>
    <row r="337" spans="1:16">
      <c r="B337" s="332"/>
      <c r="C337" s="723">
        <f>IF(D275="","-",+C336+1)</f>
        <v>2070</v>
      </c>
      <c r="D337" s="674">
        <f t="shared" si="17"/>
        <v>0</v>
      </c>
      <c r="E337" s="730">
        <f t="shared" si="15"/>
        <v>0</v>
      </c>
      <c r="F337" s="674">
        <f t="shared" si="16"/>
        <v>0</v>
      </c>
      <c r="G337" s="1265">
        <f t="shared" si="12"/>
        <v>0</v>
      </c>
      <c r="H337" s="1268">
        <f t="shared" si="13"/>
        <v>0</v>
      </c>
      <c r="I337" s="727">
        <f t="shared" si="14"/>
        <v>0</v>
      </c>
      <c r="J337" s="727"/>
      <c r="K337" s="877"/>
      <c r="L337" s="733"/>
      <c r="M337" s="877"/>
      <c r="N337" s="733"/>
      <c r="O337" s="733"/>
    </row>
    <row r="338" spans="1:16">
      <c r="B338" s="332"/>
      <c r="C338" s="723">
        <f>IF(D275="","-",+C337+1)</f>
        <v>2071</v>
      </c>
      <c r="D338" s="674">
        <f t="shared" si="17"/>
        <v>0</v>
      </c>
      <c r="E338" s="730">
        <f t="shared" si="15"/>
        <v>0</v>
      </c>
      <c r="F338" s="674">
        <f t="shared" si="16"/>
        <v>0</v>
      </c>
      <c r="G338" s="1265">
        <f t="shared" si="12"/>
        <v>0</v>
      </c>
      <c r="H338" s="1268">
        <f t="shared" si="13"/>
        <v>0</v>
      </c>
      <c r="I338" s="727">
        <f t="shared" si="14"/>
        <v>0</v>
      </c>
      <c r="J338" s="727"/>
      <c r="K338" s="877"/>
      <c r="L338" s="733"/>
      <c r="M338" s="877"/>
      <c r="N338" s="733"/>
      <c r="O338" s="733"/>
    </row>
    <row r="339" spans="1:16">
      <c r="B339" s="332"/>
      <c r="C339" s="723">
        <f>IF(D275="","-",+C338+1)</f>
        <v>2072</v>
      </c>
      <c r="D339" s="674">
        <f t="shared" si="17"/>
        <v>0</v>
      </c>
      <c r="E339" s="730">
        <f t="shared" si="15"/>
        <v>0</v>
      </c>
      <c r="F339" s="674">
        <f t="shared" si="16"/>
        <v>0</v>
      </c>
      <c r="G339" s="1265">
        <f t="shared" si="12"/>
        <v>0</v>
      </c>
      <c r="H339" s="1268">
        <f t="shared" si="13"/>
        <v>0</v>
      </c>
      <c r="I339" s="727">
        <f t="shared" si="14"/>
        <v>0</v>
      </c>
      <c r="J339" s="727"/>
      <c r="K339" s="877"/>
      <c r="L339" s="733"/>
      <c r="M339" s="877"/>
      <c r="N339" s="733"/>
      <c r="O339" s="733"/>
    </row>
    <row r="340" spans="1:16" ht="13.5" thickBot="1">
      <c r="B340" s="332"/>
      <c r="C340" s="735">
        <f>IF(D275="","-",+C339+1)</f>
        <v>2073</v>
      </c>
      <c r="D340" s="736">
        <f t="shared" si="17"/>
        <v>0</v>
      </c>
      <c r="E340" s="737">
        <f t="shared" si="15"/>
        <v>0</v>
      </c>
      <c r="F340" s="736">
        <f t="shared" si="16"/>
        <v>0</v>
      </c>
      <c r="G340" s="1275">
        <f t="shared" si="12"/>
        <v>0</v>
      </c>
      <c r="H340" s="1275">
        <f t="shared" si="13"/>
        <v>0</v>
      </c>
      <c r="I340" s="739">
        <f t="shared" si="14"/>
        <v>0</v>
      </c>
      <c r="J340" s="727"/>
      <c r="K340" s="878"/>
      <c r="L340" s="741"/>
      <c r="M340" s="878"/>
      <c r="N340" s="741"/>
      <c r="O340" s="741"/>
    </row>
    <row r="341" spans="1:16">
      <c r="B341" s="332"/>
      <c r="C341" s="674" t="s">
        <v>288</v>
      </c>
      <c r="D341" s="1246"/>
      <c r="E341" s="1246">
        <f>SUM(E281:E340)</f>
        <v>15858256.000000002</v>
      </c>
      <c r="F341" s="1246"/>
      <c r="G341" s="1246">
        <f>SUM(G281:G340)</f>
        <v>53884478.252956636</v>
      </c>
      <c r="H341" s="1246">
        <f>SUM(H281:H340)</f>
        <v>53884478.252956636</v>
      </c>
      <c r="I341" s="1246">
        <f>SUM(I281:I340)</f>
        <v>0</v>
      </c>
      <c r="J341" s="1246"/>
      <c r="K341" s="1246"/>
      <c r="L341" s="1246"/>
      <c r="M341" s="1246"/>
      <c r="N341" s="1246"/>
      <c r="O341" s="541"/>
    </row>
    <row r="342" spans="1:16">
      <c r="B342" s="332"/>
      <c r="D342" s="564"/>
      <c r="E342" s="541"/>
      <c r="F342" s="541"/>
      <c r="G342" s="541"/>
      <c r="H342" s="1245"/>
      <c r="I342" s="1245"/>
      <c r="J342" s="1246"/>
      <c r="K342" s="1245"/>
      <c r="L342" s="1245"/>
      <c r="M342" s="1245"/>
      <c r="N342" s="1245"/>
      <c r="O342" s="541"/>
    </row>
    <row r="343" spans="1:16">
      <c r="B343" s="332"/>
      <c r="C343" s="541" t="s">
        <v>601</v>
      </c>
      <c r="D343" s="564"/>
      <c r="E343" s="541"/>
      <c r="F343" s="541"/>
      <c r="G343" s="541"/>
      <c r="H343" s="1245"/>
      <c r="I343" s="1245"/>
      <c r="J343" s="1246"/>
      <c r="K343" s="1245"/>
      <c r="L343" s="1245"/>
      <c r="M343" s="1245"/>
      <c r="N343" s="1245"/>
      <c r="O343" s="541"/>
    </row>
    <row r="344" spans="1:16">
      <c r="B344" s="332"/>
      <c r="D344" s="564"/>
      <c r="E344" s="541"/>
      <c r="F344" s="541"/>
      <c r="G344" s="541"/>
      <c r="H344" s="1245"/>
      <c r="I344" s="1245"/>
      <c r="J344" s="1246"/>
      <c r="K344" s="1245"/>
      <c r="L344" s="1245"/>
      <c r="M344" s="1245"/>
      <c r="N344" s="1245"/>
      <c r="O344" s="541"/>
    </row>
    <row r="345" spans="1:16">
      <c r="B345" s="332"/>
      <c r="C345" s="577" t="s">
        <v>602</v>
      </c>
      <c r="D345" s="674"/>
      <c r="E345" s="674"/>
      <c r="F345" s="674"/>
      <c r="G345" s="1246"/>
      <c r="H345" s="1246"/>
      <c r="I345" s="675"/>
      <c r="J345" s="675"/>
      <c r="K345" s="675"/>
      <c r="L345" s="675"/>
      <c r="M345" s="675"/>
      <c r="N345" s="675"/>
      <c r="O345" s="541"/>
    </row>
    <row r="346" spans="1:16">
      <c r="B346" s="332"/>
      <c r="C346" s="577" t="s">
        <v>476</v>
      </c>
      <c r="D346" s="674"/>
      <c r="E346" s="674"/>
      <c r="F346" s="674"/>
      <c r="G346" s="1246"/>
      <c r="H346" s="1246"/>
      <c r="I346" s="675"/>
      <c r="J346" s="675"/>
      <c r="K346" s="675"/>
      <c r="L346" s="675"/>
      <c r="M346" s="675"/>
      <c r="N346" s="675"/>
      <c r="O346" s="541"/>
    </row>
    <row r="347" spans="1:16">
      <c r="B347" s="332"/>
      <c r="C347" s="577" t="s">
        <v>289</v>
      </c>
      <c r="D347" s="674"/>
      <c r="E347" s="674"/>
      <c r="F347" s="674"/>
      <c r="G347" s="1246"/>
      <c r="H347" s="1246"/>
      <c r="I347" s="675"/>
      <c r="J347" s="675"/>
      <c r="K347" s="675"/>
      <c r="L347" s="675"/>
      <c r="M347" s="675"/>
      <c r="N347" s="675"/>
      <c r="O347" s="541"/>
    </row>
    <row r="348" spans="1:16">
      <c r="B348" s="332"/>
      <c r="C348" s="673"/>
      <c r="D348" s="674"/>
      <c r="E348" s="674"/>
      <c r="F348" s="674"/>
      <c r="G348" s="1246"/>
      <c r="H348" s="1246"/>
      <c r="I348" s="675"/>
      <c r="J348" s="675"/>
      <c r="K348" s="675"/>
      <c r="L348" s="675"/>
      <c r="M348" s="675"/>
      <c r="N348" s="675"/>
      <c r="O348" s="541"/>
    </row>
    <row r="349" spans="1:16">
      <c r="B349" s="332"/>
      <c r="C349" s="1543" t="s">
        <v>460</v>
      </c>
      <c r="D349" s="1543"/>
      <c r="E349" s="1543"/>
      <c r="F349" s="1543"/>
      <c r="G349" s="1543"/>
      <c r="H349" s="1543"/>
      <c r="I349" s="1543"/>
      <c r="J349" s="1543"/>
      <c r="K349" s="1543"/>
      <c r="L349" s="1543"/>
      <c r="M349" s="1543"/>
      <c r="N349" s="1543"/>
      <c r="O349" s="1543"/>
    </row>
    <row r="350" spans="1:16">
      <c r="B350" s="332"/>
      <c r="C350" s="1543"/>
      <c r="D350" s="1543"/>
      <c r="E350" s="1543"/>
      <c r="F350" s="1543"/>
      <c r="G350" s="1543"/>
      <c r="H350" s="1543"/>
      <c r="I350" s="1543"/>
      <c r="J350" s="1543"/>
      <c r="K350" s="1543"/>
      <c r="L350" s="1543"/>
      <c r="M350" s="1543"/>
      <c r="N350" s="1543"/>
      <c r="O350" s="1543"/>
    </row>
    <row r="351" spans="1:16" ht="20.25">
      <c r="A351" s="676" t="s">
        <v>972</v>
      </c>
      <c r="B351" s="541"/>
      <c r="C351" s="656"/>
      <c r="D351" s="564"/>
      <c r="E351" s="541"/>
      <c r="F351" s="646"/>
      <c r="G351" s="541"/>
      <c r="H351" s="1245"/>
      <c r="K351" s="677"/>
      <c r="L351" s="677"/>
      <c r="M351" s="677"/>
      <c r="N351" s="592" t="str">
        <f>"Page "&amp;SUM(P$6:P351)&amp;" of "</f>
        <v xml:space="preserve">Page 5 of </v>
      </c>
      <c r="O351" s="593">
        <f>COUNT(P$6:P$59606)</f>
        <v>14</v>
      </c>
      <c r="P351" s="541">
        <v>1</v>
      </c>
    </row>
    <row r="352" spans="1:16">
      <c r="B352" s="541"/>
      <c r="C352" s="541"/>
      <c r="D352" s="564"/>
      <c r="E352" s="541"/>
      <c r="F352" s="541"/>
      <c r="G352" s="541"/>
      <c r="H352" s="1245"/>
      <c r="I352" s="541"/>
      <c r="J352" s="589"/>
      <c r="K352" s="541"/>
      <c r="L352" s="541"/>
      <c r="M352" s="541"/>
      <c r="N352" s="541"/>
      <c r="O352" s="541"/>
    </row>
    <row r="353" spans="1:15" ht="18">
      <c r="B353" s="596" t="s">
        <v>174</v>
      </c>
      <c r="C353" s="678" t="s">
        <v>290</v>
      </c>
      <c r="D353" s="564"/>
      <c r="E353" s="541"/>
      <c r="F353" s="541"/>
      <c r="G353" s="541"/>
      <c r="H353" s="1245"/>
      <c r="I353" s="1245"/>
      <c r="J353" s="1246"/>
      <c r="K353" s="1245"/>
      <c r="L353" s="1245"/>
      <c r="M353" s="1245"/>
      <c r="N353" s="1245"/>
      <c r="O353" s="541"/>
    </row>
    <row r="354" spans="1:15" ht="18.75">
      <c r="B354" s="596"/>
      <c r="C354" s="595"/>
      <c r="D354" s="564"/>
      <c r="E354" s="541"/>
      <c r="F354" s="541"/>
      <c r="G354" s="541"/>
      <c r="H354" s="1245"/>
      <c r="I354" s="1245"/>
      <c r="J354" s="1246"/>
      <c r="K354" s="1245"/>
      <c r="L354" s="1245"/>
      <c r="M354" s="1245"/>
      <c r="N354" s="1245"/>
      <c r="O354" s="541"/>
    </row>
    <row r="355" spans="1:15" ht="18.75">
      <c r="B355" s="596"/>
      <c r="C355" s="595" t="s">
        <v>291</v>
      </c>
      <c r="D355" s="564"/>
      <c r="E355" s="541"/>
      <c r="F355" s="541"/>
      <c r="G355" s="541"/>
      <c r="H355" s="1245"/>
      <c r="I355" s="1245"/>
      <c r="J355" s="1246"/>
      <c r="K355" s="1245"/>
      <c r="L355" s="1245"/>
      <c r="M355" s="1245"/>
      <c r="N355" s="1245"/>
      <c r="O355" s="541"/>
    </row>
    <row r="356" spans="1:15" ht="15.75" thickBot="1">
      <c r="B356" s="332"/>
      <c r="C356" s="398"/>
      <c r="D356" s="564"/>
      <c r="E356" s="541"/>
      <c r="F356" s="541"/>
      <c r="G356" s="541"/>
      <c r="H356" s="1245"/>
      <c r="I356" s="1245"/>
      <c r="J356" s="1246"/>
      <c r="K356" s="1245"/>
      <c r="L356" s="1245"/>
      <c r="M356" s="1245"/>
      <c r="N356" s="1245"/>
      <c r="O356" s="541"/>
    </row>
    <row r="357" spans="1:15" ht="15.75">
      <c r="B357" s="332"/>
      <c r="C357" s="597" t="s">
        <v>292</v>
      </c>
      <c r="D357" s="564"/>
      <c r="E357" s="541"/>
      <c r="F357" s="541"/>
      <c r="G357" s="1247"/>
      <c r="H357" s="541" t="s">
        <v>271</v>
      </c>
      <c r="I357" s="541"/>
      <c r="J357" s="589"/>
      <c r="K357" s="679" t="s">
        <v>296</v>
      </c>
      <c r="L357" s="680"/>
      <c r="M357" s="681"/>
      <c r="N357" s="1248">
        <f>VLOOKUP(I363,C370:O429,5)</f>
        <v>278339.42885112297</v>
      </c>
      <c r="O357" s="541"/>
    </row>
    <row r="358" spans="1:15" ht="15.75">
      <c r="B358" s="332"/>
      <c r="C358" s="597"/>
      <c r="D358" s="564"/>
      <c r="E358" s="541"/>
      <c r="F358" s="541"/>
      <c r="G358" s="541"/>
      <c r="H358" s="1249"/>
      <c r="I358" s="1249"/>
      <c r="J358" s="1250"/>
      <c r="K358" s="684" t="s">
        <v>297</v>
      </c>
      <c r="L358" s="1251"/>
      <c r="M358" s="589"/>
      <c r="N358" s="1252">
        <f>VLOOKUP(I363,C370:O429,6)</f>
        <v>278339.42885112297</v>
      </c>
      <c r="O358" s="541"/>
    </row>
    <row r="359" spans="1:15" ht="13.5" thickBot="1">
      <c r="B359" s="332"/>
      <c r="C359" s="685" t="s">
        <v>293</v>
      </c>
      <c r="D359" s="1544" t="s">
        <v>977</v>
      </c>
      <c r="E359" s="1544"/>
      <c r="F359" s="1544"/>
      <c r="G359" s="1544"/>
      <c r="H359" s="1245"/>
      <c r="I359" s="1245"/>
      <c r="J359" s="1246"/>
      <c r="K359" s="1253" t="s">
        <v>450</v>
      </c>
      <c r="L359" s="1254"/>
      <c r="M359" s="1254"/>
      <c r="N359" s="1255">
        <f>+N358-N357</f>
        <v>0</v>
      </c>
      <c r="O359" s="541"/>
    </row>
    <row r="360" spans="1:15">
      <c r="B360" s="332"/>
      <c r="C360" s="687"/>
      <c r="D360" s="688"/>
      <c r="E360" s="672"/>
      <c r="F360" s="672"/>
      <c r="G360" s="689"/>
      <c r="H360" s="1245"/>
      <c r="I360" s="1245"/>
      <c r="J360" s="1246"/>
      <c r="K360" s="1245"/>
      <c r="L360" s="1245"/>
      <c r="M360" s="1245"/>
      <c r="N360" s="1245"/>
      <c r="O360" s="541"/>
    </row>
    <row r="361" spans="1:15" ht="13.5" thickBot="1">
      <c r="B361" s="332"/>
      <c r="C361" s="690"/>
      <c r="D361" s="691"/>
      <c r="E361" s="689"/>
      <c r="F361" s="689"/>
      <c r="G361" s="689"/>
      <c r="H361" s="689"/>
      <c r="I361" s="689"/>
      <c r="J361" s="692"/>
      <c r="K361" s="689"/>
      <c r="L361" s="689"/>
      <c r="M361" s="689"/>
      <c r="N361" s="689"/>
      <c r="O361" s="577"/>
    </row>
    <row r="362" spans="1:15" ht="13.5" thickBot="1">
      <c r="B362" s="332"/>
      <c r="C362" s="694" t="s">
        <v>294</v>
      </c>
      <c r="D362" s="695"/>
      <c r="E362" s="695"/>
      <c r="F362" s="695"/>
      <c r="G362" s="695"/>
      <c r="H362" s="695"/>
      <c r="I362" s="696"/>
      <c r="J362" s="697"/>
      <c r="K362" s="541"/>
      <c r="L362" s="541"/>
      <c r="M362" s="541"/>
      <c r="N362" s="541"/>
      <c r="O362" s="698"/>
    </row>
    <row r="363" spans="1:15" ht="15">
      <c r="C363" s="700" t="s">
        <v>272</v>
      </c>
      <c r="D363" s="1256">
        <v>2419910</v>
      </c>
      <c r="E363" s="656" t="s">
        <v>273</v>
      </c>
      <c r="G363" s="701"/>
      <c r="H363" s="701"/>
      <c r="I363" s="702">
        <v>2018</v>
      </c>
      <c r="J363" s="587"/>
      <c r="K363" s="1542" t="s">
        <v>459</v>
      </c>
      <c r="L363" s="1542"/>
      <c r="M363" s="1542"/>
      <c r="N363" s="1542"/>
      <c r="O363" s="1542"/>
    </row>
    <row r="364" spans="1:15">
      <c r="C364" s="700" t="s">
        <v>275</v>
      </c>
      <c r="D364" s="872">
        <v>2014</v>
      </c>
      <c r="E364" s="700" t="s">
        <v>276</v>
      </c>
      <c r="F364" s="701"/>
      <c r="H364" s="332"/>
      <c r="I364" s="875">
        <f>IF(G357="",0,$F$15)</f>
        <v>0</v>
      </c>
      <c r="J364" s="703"/>
      <c r="K364" s="1246" t="s">
        <v>459</v>
      </c>
    </row>
    <row r="365" spans="1:15">
      <c r="C365" s="700" t="s">
        <v>277</v>
      </c>
      <c r="D365" s="1257">
        <v>12</v>
      </c>
      <c r="E365" s="700" t="s">
        <v>278</v>
      </c>
      <c r="F365" s="701"/>
      <c r="H365" s="332"/>
      <c r="I365" s="704">
        <f>$G$70</f>
        <v>0.1009634410531228</v>
      </c>
      <c r="J365" s="705"/>
      <c r="K365" s="332" t="str">
        <f>"          INPUT PROJECTED ARR (WITH &amp; WITHOUT INCENTIVES) FROM EACH PRIOR YEAR"</f>
        <v xml:space="preserve">          INPUT PROJECTED ARR (WITH &amp; WITHOUT INCENTIVES) FROM EACH PRIOR YEAR</v>
      </c>
    </row>
    <row r="366" spans="1:15">
      <c r="C366" s="700" t="s">
        <v>279</v>
      </c>
      <c r="D366" s="706">
        <f>G$79</f>
        <v>46</v>
      </c>
      <c r="E366" s="700" t="s">
        <v>280</v>
      </c>
      <c r="F366" s="701"/>
      <c r="H366" s="332"/>
      <c r="I366" s="704">
        <f>IF(G357="",I365,$G$67)</f>
        <v>0.1009634410531228</v>
      </c>
      <c r="J366" s="707"/>
      <c r="K366" s="332" t="s">
        <v>357</v>
      </c>
    </row>
    <row r="367" spans="1:15" ht="13.5" thickBot="1">
      <c r="C367" s="700" t="s">
        <v>281</v>
      </c>
      <c r="D367" s="874" t="s">
        <v>974</v>
      </c>
      <c r="E367" s="708" t="s">
        <v>282</v>
      </c>
      <c r="F367" s="709"/>
      <c r="G367" s="710"/>
      <c r="H367" s="710"/>
      <c r="I367" s="1255">
        <f>IF(D363=0,0,D363/D366)</f>
        <v>52606.739130434784</v>
      </c>
      <c r="J367" s="1246"/>
      <c r="K367" s="1246" t="s">
        <v>363</v>
      </c>
      <c r="L367" s="1246"/>
      <c r="M367" s="1246"/>
      <c r="N367" s="1246"/>
      <c r="O367" s="589"/>
    </row>
    <row r="368" spans="1:15" ht="51">
      <c r="A368" s="528"/>
      <c r="B368" s="528"/>
      <c r="C368" s="711" t="s">
        <v>272</v>
      </c>
      <c r="D368" s="1258" t="s">
        <v>283</v>
      </c>
      <c r="E368" s="1259" t="s">
        <v>284</v>
      </c>
      <c r="F368" s="1258" t="s">
        <v>285</v>
      </c>
      <c r="G368" s="1259" t="s">
        <v>356</v>
      </c>
      <c r="H368" s="1260" t="s">
        <v>356</v>
      </c>
      <c r="I368" s="711" t="s">
        <v>295</v>
      </c>
      <c r="J368" s="715"/>
      <c r="K368" s="1259" t="s">
        <v>365</v>
      </c>
      <c r="L368" s="1261"/>
      <c r="M368" s="1259" t="s">
        <v>365</v>
      </c>
      <c r="N368" s="1261"/>
      <c r="O368" s="1261"/>
    </row>
    <row r="369" spans="2:15" ht="13.5" thickBot="1">
      <c r="B369" s="332"/>
      <c r="C369" s="717" t="s">
        <v>177</v>
      </c>
      <c r="D369" s="718" t="s">
        <v>178</v>
      </c>
      <c r="E369" s="717" t="s">
        <v>37</v>
      </c>
      <c r="F369" s="718" t="s">
        <v>178</v>
      </c>
      <c r="G369" s="1262" t="s">
        <v>298</v>
      </c>
      <c r="H369" s="1263" t="s">
        <v>300</v>
      </c>
      <c r="I369" s="721" t="s">
        <v>389</v>
      </c>
      <c r="J369" s="722"/>
      <c r="K369" s="1262" t="s">
        <v>287</v>
      </c>
      <c r="L369" s="1264"/>
      <c r="M369" s="1262" t="s">
        <v>300</v>
      </c>
      <c r="N369" s="1264"/>
      <c r="O369" s="1264"/>
    </row>
    <row r="370" spans="2:15">
      <c r="B370" s="332"/>
      <c r="C370" s="723">
        <f>IF(D364= "","-",D364)</f>
        <v>2014</v>
      </c>
      <c r="D370" s="674">
        <f>+D363</f>
        <v>2419910</v>
      </c>
      <c r="E370" s="1265">
        <f>+I367/12*(12-D365)</f>
        <v>0</v>
      </c>
      <c r="F370" s="674">
        <f>+D370-E370</f>
        <v>2419910</v>
      </c>
      <c r="G370" s="1266">
        <f>+$I$365*((D370+F370)/2)+E370</f>
        <v>244322.4406388624</v>
      </c>
      <c r="H370" s="1267">
        <f>+$I$366*((D370+F370)/2)+E370</f>
        <v>244322.4406388624</v>
      </c>
      <c r="I370" s="727">
        <f>+H370-G370</f>
        <v>0</v>
      </c>
      <c r="J370" s="727"/>
      <c r="K370" s="876">
        <v>222712</v>
      </c>
      <c r="L370" s="729"/>
      <c r="M370" s="876">
        <v>222712</v>
      </c>
      <c r="N370" s="729"/>
      <c r="O370" s="729"/>
    </row>
    <row r="371" spans="2:15">
      <c r="B371" s="332"/>
      <c r="C371" s="723">
        <f>IF(D364="","-",+C370+1)</f>
        <v>2015</v>
      </c>
      <c r="D371" s="674">
        <f>F370</f>
        <v>2419910</v>
      </c>
      <c r="E371" s="730">
        <f>IF(D371&gt;$I$367,$I$367,D371)</f>
        <v>52606.739130434784</v>
      </c>
      <c r="F371" s="674">
        <f>+D371-E371</f>
        <v>2367303.2608695654</v>
      </c>
      <c r="G371" s="1265">
        <f t="shared" ref="G371:G429" si="18">+$I$365*((D371+F371)/2)+E371</f>
        <v>294273.50106670085</v>
      </c>
      <c r="H371" s="1268">
        <f t="shared" ref="H371:H429" si="19">+$I$366*((D371+F371)/2)+E371</f>
        <v>294273.50106670085</v>
      </c>
      <c r="I371" s="727">
        <f t="shared" ref="I371:I429" si="20">+H371-G371</f>
        <v>0</v>
      </c>
      <c r="J371" s="727"/>
      <c r="K371" s="877">
        <v>317491</v>
      </c>
      <c r="L371" s="733"/>
      <c r="M371" s="877">
        <v>317491</v>
      </c>
      <c r="N371" s="733"/>
      <c r="O371" s="733"/>
    </row>
    <row r="372" spans="2:15">
      <c r="B372" s="332"/>
      <c r="C372" s="723">
        <f>IF(D364="","-",+C371+1)</f>
        <v>2016</v>
      </c>
      <c r="D372" s="674">
        <f>F371</f>
        <v>2367303.2608695654</v>
      </c>
      <c r="E372" s="730">
        <f t="shared" ref="E372:E429" si="21">IF(D372&gt;$I$367,$I$367,D372)</f>
        <v>52606.739130434784</v>
      </c>
      <c r="F372" s="674">
        <f t="shared" ref="F372:F429" si="22">+D372-E372</f>
        <v>2314696.5217391308</v>
      </c>
      <c r="G372" s="1265">
        <f t="shared" si="18"/>
        <v>288962.14366150822</v>
      </c>
      <c r="H372" s="1268">
        <f t="shared" si="19"/>
        <v>288962.14366150822</v>
      </c>
      <c r="I372" s="727">
        <f t="shared" si="20"/>
        <v>0</v>
      </c>
      <c r="J372" s="727"/>
      <c r="K372" s="877">
        <v>303455</v>
      </c>
      <c r="L372" s="1278"/>
      <c r="M372" s="877">
        <v>303455</v>
      </c>
      <c r="N372" s="733"/>
      <c r="O372" s="733"/>
    </row>
    <row r="373" spans="2:15">
      <c r="B373" s="332"/>
      <c r="C373" s="723">
        <f>IF(D364="","-",+C372+1)</f>
        <v>2017</v>
      </c>
      <c r="D373" s="674">
        <f t="shared" ref="D373:D429" si="23">F372</f>
        <v>2314696.5217391308</v>
      </c>
      <c r="E373" s="730">
        <f t="shared" si="21"/>
        <v>52606.739130434784</v>
      </c>
      <c r="F373" s="674">
        <f t="shared" si="22"/>
        <v>2262089.7826086963</v>
      </c>
      <c r="G373" s="1265">
        <f t="shared" si="18"/>
        <v>283650.78625631554</v>
      </c>
      <c r="H373" s="1268">
        <f t="shared" si="19"/>
        <v>283650.78625631554</v>
      </c>
      <c r="I373" s="727">
        <f t="shared" si="20"/>
        <v>0</v>
      </c>
      <c r="J373" s="727"/>
      <c r="K373" s="877">
        <v>317491</v>
      </c>
      <c r="L373" s="733"/>
      <c r="M373" s="877">
        <v>317491</v>
      </c>
      <c r="N373" s="733"/>
      <c r="O373" s="733"/>
    </row>
    <row r="374" spans="2:15">
      <c r="B374" s="332"/>
      <c r="C374" s="1269">
        <f>IF(D364="","-",+C373+1)</f>
        <v>2018</v>
      </c>
      <c r="D374" s="1270">
        <f t="shared" si="23"/>
        <v>2262089.7826086963</v>
      </c>
      <c r="E374" s="1271">
        <f t="shared" si="21"/>
        <v>52606.739130434784</v>
      </c>
      <c r="F374" s="1270">
        <f t="shared" si="22"/>
        <v>2209483.0434782617</v>
      </c>
      <c r="G374" s="1272">
        <f t="shared" si="18"/>
        <v>278339.42885112297</v>
      </c>
      <c r="H374" s="1273">
        <f t="shared" si="19"/>
        <v>278339.42885112297</v>
      </c>
      <c r="I374" s="1279">
        <f t="shared" si="20"/>
        <v>0</v>
      </c>
      <c r="J374" s="1279"/>
      <c r="K374" s="877"/>
      <c r="L374" s="733"/>
      <c r="M374" s="877"/>
      <c r="N374" s="733"/>
      <c r="O374" s="733"/>
    </row>
    <row r="375" spans="2:15">
      <c r="B375" s="332"/>
      <c r="C375" s="723">
        <f>IF(D364="","-",+C374+1)</f>
        <v>2019</v>
      </c>
      <c r="D375" s="674">
        <f t="shared" si="23"/>
        <v>2209483.0434782617</v>
      </c>
      <c r="E375" s="730">
        <f t="shared" si="21"/>
        <v>52606.739130434784</v>
      </c>
      <c r="F375" s="674">
        <f t="shared" si="22"/>
        <v>2156876.3043478271</v>
      </c>
      <c r="G375" s="1265">
        <f t="shared" si="18"/>
        <v>273028.07144593028</v>
      </c>
      <c r="H375" s="1268">
        <f t="shared" si="19"/>
        <v>273028.07144593028</v>
      </c>
      <c r="I375" s="727">
        <f t="shared" si="20"/>
        <v>0</v>
      </c>
      <c r="J375" s="727"/>
      <c r="K375" s="877"/>
      <c r="L375" s="733"/>
      <c r="M375" s="877"/>
      <c r="N375" s="733"/>
      <c r="O375" s="733"/>
    </row>
    <row r="376" spans="2:15">
      <c r="B376" s="332"/>
      <c r="C376" s="723">
        <f>IF(D364="","-",+C375+1)</f>
        <v>2020</v>
      </c>
      <c r="D376" s="674">
        <f t="shared" si="23"/>
        <v>2156876.3043478271</v>
      </c>
      <c r="E376" s="730">
        <f t="shared" si="21"/>
        <v>52606.739130434784</v>
      </c>
      <c r="F376" s="674">
        <f t="shared" si="22"/>
        <v>2104269.5652173925</v>
      </c>
      <c r="G376" s="1265">
        <f t="shared" si="18"/>
        <v>267716.71404073766</v>
      </c>
      <c r="H376" s="1268">
        <f t="shared" si="19"/>
        <v>267716.71404073766</v>
      </c>
      <c r="I376" s="727">
        <f t="shared" si="20"/>
        <v>0</v>
      </c>
      <c r="J376" s="727"/>
      <c r="K376" s="877"/>
      <c r="L376" s="733"/>
      <c r="M376" s="877"/>
      <c r="N376" s="733"/>
      <c r="O376" s="733"/>
    </row>
    <row r="377" spans="2:15">
      <c r="B377" s="332"/>
      <c r="C377" s="723">
        <f>IF(D364="","-",+C376+1)</f>
        <v>2021</v>
      </c>
      <c r="D377" s="674">
        <f t="shared" si="23"/>
        <v>2104269.5652173925</v>
      </c>
      <c r="E377" s="730">
        <f t="shared" si="21"/>
        <v>52606.739130434784</v>
      </c>
      <c r="F377" s="674">
        <f t="shared" si="22"/>
        <v>2051662.8260869577</v>
      </c>
      <c r="G377" s="1265">
        <f t="shared" si="18"/>
        <v>262405.35663554503</v>
      </c>
      <c r="H377" s="1268">
        <f t="shared" si="19"/>
        <v>262405.35663554503</v>
      </c>
      <c r="I377" s="727">
        <f t="shared" si="20"/>
        <v>0</v>
      </c>
      <c r="J377" s="727"/>
      <c r="K377" s="877"/>
      <c r="L377" s="733"/>
      <c r="M377" s="877"/>
      <c r="N377" s="733"/>
      <c r="O377" s="733"/>
    </row>
    <row r="378" spans="2:15">
      <c r="B378" s="332"/>
      <c r="C378" s="723">
        <f>IF(D364="","-",+C377+1)</f>
        <v>2022</v>
      </c>
      <c r="D378" s="674">
        <f t="shared" si="23"/>
        <v>2051662.8260869577</v>
      </c>
      <c r="E378" s="730">
        <f t="shared" si="21"/>
        <v>52606.739130434784</v>
      </c>
      <c r="F378" s="674">
        <f t="shared" si="22"/>
        <v>1999056.0869565229</v>
      </c>
      <c r="G378" s="1265">
        <f t="shared" si="18"/>
        <v>257093.99923035232</v>
      </c>
      <c r="H378" s="1268">
        <f t="shared" si="19"/>
        <v>257093.99923035232</v>
      </c>
      <c r="I378" s="727">
        <f t="shared" si="20"/>
        <v>0</v>
      </c>
      <c r="J378" s="727"/>
      <c r="K378" s="877"/>
      <c r="L378" s="733"/>
      <c r="M378" s="877"/>
      <c r="N378" s="733"/>
      <c r="O378" s="733"/>
    </row>
    <row r="379" spans="2:15">
      <c r="B379" s="332"/>
      <c r="C379" s="723">
        <f>IF(D364="","-",+C378+1)</f>
        <v>2023</v>
      </c>
      <c r="D379" s="674">
        <f t="shared" si="23"/>
        <v>1999056.0869565229</v>
      </c>
      <c r="E379" s="730">
        <f t="shared" si="21"/>
        <v>52606.739130434784</v>
      </c>
      <c r="F379" s="674">
        <f t="shared" si="22"/>
        <v>1946449.3478260881</v>
      </c>
      <c r="G379" s="1265">
        <f t="shared" si="18"/>
        <v>251782.64182515969</v>
      </c>
      <c r="H379" s="1268">
        <f t="shared" si="19"/>
        <v>251782.64182515969</v>
      </c>
      <c r="I379" s="727">
        <f t="shared" si="20"/>
        <v>0</v>
      </c>
      <c r="J379" s="727"/>
      <c r="K379" s="877"/>
      <c r="L379" s="733"/>
      <c r="M379" s="877"/>
      <c r="N379" s="733"/>
      <c r="O379" s="733"/>
    </row>
    <row r="380" spans="2:15">
      <c r="B380" s="332"/>
      <c r="C380" s="723">
        <f>IF(D364="","-",+C379+1)</f>
        <v>2024</v>
      </c>
      <c r="D380" s="674">
        <f t="shared" si="23"/>
        <v>1946449.3478260881</v>
      </c>
      <c r="E380" s="730">
        <f t="shared" si="21"/>
        <v>52606.739130434784</v>
      </c>
      <c r="F380" s="674">
        <f t="shared" si="22"/>
        <v>1893842.6086956533</v>
      </c>
      <c r="G380" s="1265">
        <f t="shared" si="18"/>
        <v>246471.28441996701</v>
      </c>
      <c r="H380" s="1268">
        <f t="shared" si="19"/>
        <v>246471.28441996701</v>
      </c>
      <c r="I380" s="727">
        <f t="shared" si="20"/>
        <v>0</v>
      </c>
      <c r="J380" s="727"/>
      <c r="K380" s="877"/>
      <c r="L380" s="733"/>
      <c r="M380" s="877"/>
      <c r="N380" s="733"/>
      <c r="O380" s="733"/>
    </row>
    <row r="381" spans="2:15">
      <c r="B381" s="332"/>
      <c r="C381" s="723">
        <f>IF(D364="","-",+C380+1)</f>
        <v>2025</v>
      </c>
      <c r="D381" s="674">
        <f t="shared" si="23"/>
        <v>1893842.6086956533</v>
      </c>
      <c r="E381" s="730">
        <f t="shared" si="21"/>
        <v>52606.739130434784</v>
      </c>
      <c r="F381" s="674">
        <f t="shared" si="22"/>
        <v>1841235.8695652185</v>
      </c>
      <c r="G381" s="1265">
        <f t="shared" si="18"/>
        <v>241159.92701477435</v>
      </c>
      <c r="H381" s="1268">
        <f t="shared" si="19"/>
        <v>241159.92701477435</v>
      </c>
      <c r="I381" s="727">
        <f t="shared" si="20"/>
        <v>0</v>
      </c>
      <c r="J381" s="727"/>
      <c r="K381" s="877"/>
      <c r="L381" s="733"/>
      <c r="M381" s="877"/>
      <c r="N381" s="733"/>
      <c r="O381" s="733"/>
    </row>
    <row r="382" spans="2:15">
      <c r="B382" s="332"/>
      <c r="C382" s="723">
        <f>IF(D364="","-",+C381+1)</f>
        <v>2026</v>
      </c>
      <c r="D382" s="674">
        <f t="shared" si="23"/>
        <v>1841235.8695652185</v>
      </c>
      <c r="E382" s="730">
        <f t="shared" si="21"/>
        <v>52606.739130434784</v>
      </c>
      <c r="F382" s="674">
        <f t="shared" si="22"/>
        <v>1788629.1304347836</v>
      </c>
      <c r="G382" s="1265">
        <f t="shared" si="18"/>
        <v>235848.56960958167</v>
      </c>
      <c r="H382" s="1268">
        <f t="shared" si="19"/>
        <v>235848.56960958167</v>
      </c>
      <c r="I382" s="727">
        <f t="shared" si="20"/>
        <v>0</v>
      </c>
      <c r="J382" s="727"/>
      <c r="K382" s="877"/>
      <c r="L382" s="733"/>
      <c r="M382" s="877"/>
      <c r="N382" s="734"/>
      <c r="O382" s="733"/>
    </row>
    <row r="383" spans="2:15">
      <c r="B383" s="332"/>
      <c r="C383" s="723">
        <f>IF(D364="","-",+C382+1)</f>
        <v>2027</v>
      </c>
      <c r="D383" s="674">
        <f t="shared" si="23"/>
        <v>1788629.1304347836</v>
      </c>
      <c r="E383" s="730">
        <f t="shared" si="21"/>
        <v>52606.739130434784</v>
      </c>
      <c r="F383" s="674">
        <f t="shared" si="22"/>
        <v>1736022.3913043488</v>
      </c>
      <c r="G383" s="1265">
        <f t="shared" si="18"/>
        <v>230537.21220438904</v>
      </c>
      <c r="H383" s="1268">
        <f t="shared" si="19"/>
        <v>230537.21220438904</v>
      </c>
      <c r="I383" s="727">
        <f t="shared" si="20"/>
        <v>0</v>
      </c>
      <c r="J383" s="727"/>
      <c r="K383" s="877"/>
      <c r="L383" s="733"/>
      <c r="M383" s="877"/>
      <c r="N383" s="733"/>
      <c r="O383" s="733"/>
    </row>
    <row r="384" spans="2:15">
      <c r="B384" s="332"/>
      <c r="C384" s="723">
        <f>IF(D364="","-",+C383+1)</f>
        <v>2028</v>
      </c>
      <c r="D384" s="674">
        <f t="shared" si="23"/>
        <v>1736022.3913043488</v>
      </c>
      <c r="E384" s="730">
        <f t="shared" si="21"/>
        <v>52606.739130434784</v>
      </c>
      <c r="F384" s="674">
        <f t="shared" si="22"/>
        <v>1683415.652173914</v>
      </c>
      <c r="G384" s="1265">
        <f t="shared" si="18"/>
        <v>225225.85479919636</v>
      </c>
      <c r="H384" s="1268">
        <f t="shared" si="19"/>
        <v>225225.85479919636</v>
      </c>
      <c r="I384" s="727">
        <f t="shared" si="20"/>
        <v>0</v>
      </c>
      <c r="J384" s="727"/>
      <c r="K384" s="877"/>
      <c r="L384" s="733"/>
      <c r="M384" s="877"/>
      <c r="N384" s="733"/>
      <c r="O384" s="733"/>
    </row>
    <row r="385" spans="2:15">
      <c r="B385" s="332"/>
      <c r="C385" s="723">
        <f>IF(D364="","-",+C384+1)</f>
        <v>2029</v>
      </c>
      <c r="D385" s="674">
        <f t="shared" si="23"/>
        <v>1683415.652173914</v>
      </c>
      <c r="E385" s="730">
        <f t="shared" si="21"/>
        <v>52606.739130434784</v>
      </c>
      <c r="F385" s="674">
        <f t="shared" si="22"/>
        <v>1630808.9130434792</v>
      </c>
      <c r="G385" s="1265">
        <f t="shared" si="18"/>
        <v>219914.4973940037</v>
      </c>
      <c r="H385" s="1268">
        <f t="shared" si="19"/>
        <v>219914.4973940037</v>
      </c>
      <c r="I385" s="727">
        <f t="shared" si="20"/>
        <v>0</v>
      </c>
      <c r="J385" s="727"/>
      <c r="K385" s="877"/>
      <c r="L385" s="733"/>
      <c r="M385" s="877"/>
      <c r="N385" s="733"/>
      <c r="O385" s="733"/>
    </row>
    <row r="386" spans="2:15">
      <c r="B386" s="332"/>
      <c r="C386" s="723">
        <f>IF(D364="","-",+C385+1)</f>
        <v>2030</v>
      </c>
      <c r="D386" s="674">
        <f t="shared" si="23"/>
        <v>1630808.9130434792</v>
      </c>
      <c r="E386" s="730">
        <f t="shared" si="21"/>
        <v>52606.739130434784</v>
      </c>
      <c r="F386" s="674">
        <f t="shared" si="22"/>
        <v>1578202.1739130444</v>
      </c>
      <c r="G386" s="1265">
        <f t="shared" si="18"/>
        <v>214603.13998881102</v>
      </c>
      <c r="H386" s="1268">
        <f t="shared" si="19"/>
        <v>214603.13998881102</v>
      </c>
      <c r="I386" s="727">
        <f t="shared" si="20"/>
        <v>0</v>
      </c>
      <c r="J386" s="727"/>
      <c r="K386" s="877"/>
      <c r="L386" s="733"/>
      <c r="M386" s="877"/>
      <c r="N386" s="733"/>
      <c r="O386" s="733"/>
    </row>
    <row r="387" spans="2:15">
      <c r="B387" s="332"/>
      <c r="C387" s="723">
        <f>IF(D364="","-",+C386+1)</f>
        <v>2031</v>
      </c>
      <c r="D387" s="674">
        <f t="shared" si="23"/>
        <v>1578202.1739130444</v>
      </c>
      <c r="E387" s="730">
        <f t="shared" si="21"/>
        <v>52606.739130434784</v>
      </c>
      <c r="F387" s="674">
        <f t="shared" si="22"/>
        <v>1525595.4347826096</v>
      </c>
      <c r="G387" s="1265">
        <f t="shared" si="18"/>
        <v>209291.78258361839</v>
      </c>
      <c r="H387" s="1268">
        <f t="shared" si="19"/>
        <v>209291.78258361839</v>
      </c>
      <c r="I387" s="727">
        <f t="shared" si="20"/>
        <v>0</v>
      </c>
      <c r="J387" s="727"/>
      <c r="K387" s="877"/>
      <c r="L387" s="733"/>
      <c r="M387" s="877"/>
      <c r="N387" s="733"/>
      <c r="O387" s="733"/>
    </row>
    <row r="388" spans="2:15">
      <c r="B388" s="332"/>
      <c r="C388" s="723">
        <f>IF(D364="","-",+C387+1)</f>
        <v>2032</v>
      </c>
      <c r="D388" s="674">
        <f t="shared" si="23"/>
        <v>1525595.4347826096</v>
      </c>
      <c r="E388" s="730">
        <f t="shared" si="21"/>
        <v>52606.739130434784</v>
      </c>
      <c r="F388" s="674">
        <f t="shared" si="22"/>
        <v>1472988.6956521748</v>
      </c>
      <c r="G388" s="1265">
        <f t="shared" si="18"/>
        <v>203980.42517842568</v>
      </c>
      <c r="H388" s="1268">
        <f t="shared" si="19"/>
        <v>203980.42517842568</v>
      </c>
      <c r="I388" s="727">
        <f t="shared" si="20"/>
        <v>0</v>
      </c>
      <c r="J388" s="727"/>
      <c r="K388" s="877"/>
      <c r="L388" s="733"/>
      <c r="M388" s="877"/>
      <c r="N388" s="733"/>
      <c r="O388" s="733"/>
    </row>
    <row r="389" spans="2:15">
      <c r="B389" s="332"/>
      <c r="C389" s="723">
        <f>IF(D364="","-",+C388+1)</f>
        <v>2033</v>
      </c>
      <c r="D389" s="674">
        <f t="shared" si="23"/>
        <v>1472988.6956521748</v>
      </c>
      <c r="E389" s="730">
        <f t="shared" si="21"/>
        <v>52606.739130434784</v>
      </c>
      <c r="F389" s="674">
        <f t="shared" si="22"/>
        <v>1420381.95652174</v>
      </c>
      <c r="G389" s="1265">
        <f t="shared" si="18"/>
        <v>198669.06777323305</v>
      </c>
      <c r="H389" s="1268">
        <f t="shared" si="19"/>
        <v>198669.06777323305</v>
      </c>
      <c r="I389" s="727">
        <f t="shared" si="20"/>
        <v>0</v>
      </c>
      <c r="J389" s="727"/>
      <c r="K389" s="877"/>
      <c r="L389" s="733"/>
      <c r="M389" s="877"/>
      <c r="N389" s="733"/>
      <c r="O389" s="733"/>
    </row>
    <row r="390" spans="2:15">
      <c r="B390" s="332"/>
      <c r="C390" s="723">
        <f>IF(D364="","-",+C389+1)</f>
        <v>2034</v>
      </c>
      <c r="D390" s="674">
        <f t="shared" si="23"/>
        <v>1420381.95652174</v>
      </c>
      <c r="E390" s="730">
        <f t="shared" si="21"/>
        <v>52606.739130434784</v>
      </c>
      <c r="F390" s="674">
        <f t="shared" si="22"/>
        <v>1367775.2173913051</v>
      </c>
      <c r="G390" s="1265">
        <f t="shared" si="18"/>
        <v>193357.71036804037</v>
      </c>
      <c r="H390" s="1268">
        <f t="shared" si="19"/>
        <v>193357.71036804037</v>
      </c>
      <c r="I390" s="727">
        <f t="shared" si="20"/>
        <v>0</v>
      </c>
      <c r="J390" s="727"/>
      <c r="K390" s="877"/>
      <c r="L390" s="733"/>
      <c r="M390" s="877"/>
      <c r="N390" s="733"/>
      <c r="O390" s="733"/>
    </row>
    <row r="391" spans="2:15">
      <c r="B391" s="332"/>
      <c r="C391" s="723">
        <f>IF(D364="","-",+C390+1)</f>
        <v>2035</v>
      </c>
      <c r="D391" s="674">
        <f t="shared" si="23"/>
        <v>1367775.2173913051</v>
      </c>
      <c r="E391" s="730">
        <f t="shared" si="21"/>
        <v>52606.739130434784</v>
      </c>
      <c r="F391" s="674">
        <f t="shared" si="22"/>
        <v>1315168.4782608703</v>
      </c>
      <c r="G391" s="1265">
        <f t="shared" si="18"/>
        <v>188046.35296284771</v>
      </c>
      <c r="H391" s="1268">
        <f t="shared" si="19"/>
        <v>188046.35296284771</v>
      </c>
      <c r="I391" s="727">
        <f t="shared" si="20"/>
        <v>0</v>
      </c>
      <c r="J391" s="727"/>
      <c r="K391" s="877"/>
      <c r="L391" s="733"/>
      <c r="M391" s="877"/>
      <c r="N391" s="733"/>
      <c r="O391" s="733"/>
    </row>
    <row r="392" spans="2:15">
      <c r="B392" s="332"/>
      <c r="C392" s="723">
        <f>IF(D364="","-",+C391+1)</f>
        <v>2036</v>
      </c>
      <c r="D392" s="674">
        <f t="shared" si="23"/>
        <v>1315168.4782608703</v>
      </c>
      <c r="E392" s="730">
        <f t="shared" si="21"/>
        <v>52606.739130434784</v>
      </c>
      <c r="F392" s="674">
        <f t="shared" si="22"/>
        <v>1262561.7391304355</v>
      </c>
      <c r="G392" s="1265">
        <f t="shared" si="18"/>
        <v>182734.99555765503</v>
      </c>
      <c r="H392" s="1268">
        <f t="shared" si="19"/>
        <v>182734.99555765503</v>
      </c>
      <c r="I392" s="727">
        <f t="shared" si="20"/>
        <v>0</v>
      </c>
      <c r="J392" s="727"/>
      <c r="K392" s="877"/>
      <c r="L392" s="733"/>
      <c r="M392" s="877"/>
      <c r="N392" s="733"/>
      <c r="O392" s="733"/>
    </row>
    <row r="393" spans="2:15">
      <c r="B393" s="332"/>
      <c r="C393" s="723">
        <f>IF(D364="","-",+C392+1)</f>
        <v>2037</v>
      </c>
      <c r="D393" s="674">
        <f t="shared" si="23"/>
        <v>1262561.7391304355</v>
      </c>
      <c r="E393" s="730">
        <f t="shared" si="21"/>
        <v>52606.739130434784</v>
      </c>
      <c r="F393" s="674">
        <f t="shared" si="22"/>
        <v>1209955.0000000007</v>
      </c>
      <c r="G393" s="1265">
        <f t="shared" si="18"/>
        <v>177423.6381524624</v>
      </c>
      <c r="H393" s="1268">
        <f t="shared" si="19"/>
        <v>177423.6381524624</v>
      </c>
      <c r="I393" s="727">
        <f t="shared" si="20"/>
        <v>0</v>
      </c>
      <c r="J393" s="727"/>
      <c r="K393" s="877"/>
      <c r="L393" s="733"/>
      <c r="M393" s="877"/>
      <c r="N393" s="733"/>
      <c r="O393" s="733"/>
    </row>
    <row r="394" spans="2:15">
      <c r="B394" s="332"/>
      <c r="C394" s="723">
        <f>IF(D364="","-",+C393+1)</f>
        <v>2038</v>
      </c>
      <c r="D394" s="674">
        <f t="shared" si="23"/>
        <v>1209955.0000000007</v>
      </c>
      <c r="E394" s="730">
        <f t="shared" si="21"/>
        <v>52606.739130434784</v>
      </c>
      <c r="F394" s="674">
        <f t="shared" si="22"/>
        <v>1157348.2608695659</v>
      </c>
      <c r="G394" s="1265">
        <f t="shared" si="18"/>
        <v>172112.28074726969</v>
      </c>
      <c r="H394" s="1268">
        <f t="shared" si="19"/>
        <v>172112.28074726969</v>
      </c>
      <c r="I394" s="727">
        <f t="shared" si="20"/>
        <v>0</v>
      </c>
      <c r="J394" s="727"/>
      <c r="K394" s="877"/>
      <c r="L394" s="733"/>
      <c r="M394" s="877"/>
      <c r="N394" s="733"/>
      <c r="O394" s="733"/>
    </row>
    <row r="395" spans="2:15">
      <c r="B395" s="332"/>
      <c r="C395" s="723">
        <f>IF(D364="","-",+C394+1)</f>
        <v>2039</v>
      </c>
      <c r="D395" s="674">
        <f t="shared" si="23"/>
        <v>1157348.2608695659</v>
      </c>
      <c r="E395" s="730">
        <f t="shared" si="21"/>
        <v>52606.739130434784</v>
      </c>
      <c r="F395" s="674">
        <f t="shared" si="22"/>
        <v>1104741.5217391311</v>
      </c>
      <c r="G395" s="1265">
        <f t="shared" si="18"/>
        <v>166800.92334207706</v>
      </c>
      <c r="H395" s="1268">
        <f t="shared" si="19"/>
        <v>166800.92334207706</v>
      </c>
      <c r="I395" s="727">
        <f t="shared" si="20"/>
        <v>0</v>
      </c>
      <c r="J395" s="727"/>
      <c r="K395" s="877"/>
      <c r="L395" s="733"/>
      <c r="M395" s="877"/>
      <c r="N395" s="733"/>
      <c r="O395" s="733"/>
    </row>
    <row r="396" spans="2:15">
      <c r="B396" s="332"/>
      <c r="C396" s="723">
        <f>IF(D364="","-",+C395+1)</f>
        <v>2040</v>
      </c>
      <c r="D396" s="674">
        <f t="shared" si="23"/>
        <v>1104741.5217391311</v>
      </c>
      <c r="E396" s="730">
        <f t="shared" si="21"/>
        <v>52606.739130434784</v>
      </c>
      <c r="F396" s="674">
        <f t="shared" si="22"/>
        <v>1052134.7826086963</v>
      </c>
      <c r="G396" s="1265">
        <f t="shared" si="18"/>
        <v>161489.56593688438</v>
      </c>
      <c r="H396" s="1268">
        <f t="shared" si="19"/>
        <v>161489.56593688438</v>
      </c>
      <c r="I396" s="727">
        <f t="shared" si="20"/>
        <v>0</v>
      </c>
      <c r="J396" s="727"/>
      <c r="K396" s="877"/>
      <c r="L396" s="733"/>
      <c r="M396" s="877"/>
      <c r="N396" s="733"/>
      <c r="O396" s="733"/>
    </row>
    <row r="397" spans="2:15">
      <c r="B397" s="332"/>
      <c r="C397" s="723">
        <f>IF(D364="","-",+C396+1)</f>
        <v>2041</v>
      </c>
      <c r="D397" s="674">
        <f t="shared" si="23"/>
        <v>1052134.7826086963</v>
      </c>
      <c r="E397" s="730">
        <f t="shared" si="21"/>
        <v>52606.739130434784</v>
      </c>
      <c r="F397" s="674">
        <f t="shared" si="22"/>
        <v>999528.04347826145</v>
      </c>
      <c r="G397" s="1265">
        <f t="shared" si="18"/>
        <v>156178.20853169172</v>
      </c>
      <c r="H397" s="1268">
        <f t="shared" si="19"/>
        <v>156178.20853169172</v>
      </c>
      <c r="I397" s="727">
        <f t="shared" si="20"/>
        <v>0</v>
      </c>
      <c r="J397" s="727"/>
      <c r="K397" s="877"/>
      <c r="L397" s="733"/>
      <c r="M397" s="877"/>
      <c r="N397" s="733"/>
      <c r="O397" s="733"/>
    </row>
    <row r="398" spans="2:15">
      <c r="B398" s="332"/>
      <c r="C398" s="723">
        <f>IF(D364="","-",+C397+1)</f>
        <v>2042</v>
      </c>
      <c r="D398" s="674">
        <f t="shared" si="23"/>
        <v>999528.04347826145</v>
      </c>
      <c r="E398" s="730">
        <f t="shared" si="21"/>
        <v>52606.739130434784</v>
      </c>
      <c r="F398" s="674">
        <f t="shared" si="22"/>
        <v>946921.30434782663</v>
      </c>
      <c r="G398" s="1274">
        <f t="shared" si="18"/>
        <v>150866.85112649907</v>
      </c>
      <c r="H398" s="1268">
        <f t="shared" si="19"/>
        <v>150866.85112649907</v>
      </c>
      <c r="I398" s="727">
        <f t="shared" si="20"/>
        <v>0</v>
      </c>
      <c r="J398" s="727"/>
      <c r="K398" s="877"/>
      <c r="L398" s="733"/>
      <c r="M398" s="877"/>
      <c r="N398" s="733"/>
      <c r="O398" s="733"/>
    </row>
    <row r="399" spans="2:15">
      <c r="B399" s="332"/>
      <c r="C399" s="723">
        <f>IF(D364="","-",+C398+1)</f>
        <v>2043</v>
      </c>
      <c r="D399" s="674">
        <f t="shared" si="23"/>
        <v>946921.30434782663</v>
      </c>
      <c r="E399" s="730">
        <f t="shared" si="21"/>
        <v>52606.739130434784</v>
      </c>
      <c r="F399" s="674">
        <f t="shared" si="22"/>
        <v>894314.56521739182</v>
      </c>
      <c r="G399" s="1265">
        <f t="shared" si="18"/>
        <v>145555.49372130638</v>
      </c>
      <c r="H399" s="1268">
        <f t="shared" si="19"/>
        <v>145555.49372130638</v>
      </c>
      <c r="I399" s="727">
        <f t="shared" si="20"/>
        <v>0</v>
      </c>
      <c r="J399" s="727"/>
      <c r="K399" s="877"/>
      <c r="L399" s="733"/>
      <c r="M399" s="877"/>
      <c r="N399" s="733"/>
      <c r="O399" s="733"/>
    </row>
    <row r="400" spans="2:15">
      <c r="B400" s="332"/>
      <c r="C400" s="723">
        <f>IF(D364="","-",+C399+1)</f>
        <v>2044</v>
      </c>
      <c r="D400" s="674">
        <f t="shared" si="23"/>
        <v>894314.56521739182</v>
      </c>
      <c r="E400" s="730">
        <f t="shared" si="21"/>
        <v>52606.739130434784</v>
      </c>
      <c r="F400" s="674">
        <f t="shared" si="22"/>
        <v>841707.82608695701</v>
      </c>
      <c r="G400" s="1265">
        <f t="shared" si="18"/>
        <v>140244.13631611376</v>
      </c>
      <c r="H400" s="1268">
        <f t="shared" si="19"/>
        <v>140244.13631611376</v>
      </c>
      <c r="I400" s="727">
        <f t="shared" si="20"/>
        <v>0</v>
      </c>
      <c r="J400" s="727"/>
      <c r="K400" s="877"/>
      <c r="L400" s="733"/>
      <c r="M400" s="877"/>
      <c r="N400" s="733"/>
      <c r="O400" s="733"/>
    </row>
    <row r="401" spans="2:15">
      <c r="B401" s="332"/>
      <c r="C401" s="723">
        <f>IF(D364="","-",+C400+1)</f>
        <v>2045</v>
      </c>
      <c r="D401" s="674">
        <f t="shared" si="23"/>
        <v>841707.82608695701</v>
      </c>
      <c r="E401" s="730">
        <f t="shared" si="21"/>
        <v>52606.739130434784</v>
      </c>
      <c r="F401" s="674">
        <f t="shared" si="22"/>
        <v>789101.08695652219</v>
      </c>
      <c r="G401" s="1265">
        <f t="shared" si="18"/>
        <v>134932.77891092107</v>
      </c>
      <c r="H401" s="1268">
        <f t="shared" si="19"/>
        <v>134932.77891092107</v>
      </c>
      <c r="I401" s="727">
        <f t="shared" si="20"/>
        <v>0</v>
      </c>
      <c r="J401" s="727"/>
      <c r="K401" s="877"/>
      <c r="L401" s="733"/>
      <c r="M401" s="877"/>
      <c r="N401" s="733"/>
      <c r="O401" s="733"/>
    </row>
    <row r="402" spans="2:15">
      <c r="B402" s="332"/>
      <c r="C402" s="723">
        <f>IF(D364="","-",+C401+1)</f>
        <v>2046</v>
      </c>
      <c r="D402" s="674">
        <f t="shared" si="23"/>
        <v>789101.08695652219</v>
      </c>
      <c r="E402" s="730">
        <f t="shared" si="21"/>
        <v>52606.739130434784</v>
      </c>
      <c r="F402" s="674">
        <f t="shared" si="22"/>
        <v>736494.34782608738</v>
      </c>
      <c r="G402" s="1265">
        <f t="shared" si="18"/>
        <v>129621.4215057284</v>
      </c>
      <c r="H402" s="1268">
        <f t="shared" si="19"/>
        <v>129621.4215057284</v>
      </c>
      <c r="I402" s="727">
        <f t="shared" si="20"/>
        <v>0</v>
      </c>
      <c r="J402" s="727"/>
      <c r="K402" s="877"/>
      <c r="L402" s="733"/>
      <c r="M402" s="877"/>
      <c r="N402" s="733"/>
      <c r="O402" s="733"/>
    </row>
    <row r="403" spans="2:15">
      <c r="B403" s="332"/>
      <c r="C403" s="723">
        <f>IF(D364="","-",+C402+1)</f>
        <v>2047</v>
      </c>
      <c r="D403" s="674">
        <f t="shared" si="23"/>
        <v>736494.34782608738</v>
      </c>
      <c r="E403" s="730">
        <f t="shared" si="21"/>
        <v>52606.739130434784</v>
      </c>
      <c r="F403" s="674">
        <f t="shared" si="22"/>
        <v>683887.60869565257</v>
      </c>
      <c r="G403" s="1265">
        <f t="shared" si="18"/>
        <v>124310.06410053575</v>
      </c>
      <c r="H403" s="1268">
        <f t="shared" si="19"/>
        <v>124310.06410053575</v>
      </c>
      <c r="I403" s="727">
        <f t="shared" si="20"/>
        <v>0</v>
      </c>
      <c r="J403" s="727"/>
      <c r="K403" s="877"/>
      <c r="L403" s="733"/>
      <c r="M403" s="877"/>
      <c r="N403" s="733"/>
      <c r="O403" s="733"/>
    </row>
    <row r="404" spans="2:15">
      <c r="B404" s="332"/>
      <c r="C404" s="723">
        <f>IF(D364="","-",+C403+1)</f>
        <v>2048</v>
      </c>
      <c r="D404" s="674">
        <f t="shared" si="23"/>
        <v>683887.60869565257</v>
      </c>
      <c r="E404" s="730">
        <f t="shared" si="21"/>
        <v>52606.739130434784</v>
      </c>
      <c r="F404" s="674">
        <f t="shared" si="22"/>
        <v>631280.86956521776</v>
      </c>
      <c r="G404" s="1265">
        <f t="shared" si="18"/>
        <v>118998.70669534308</v>
      </c>
      <c r="H404" s="1268">
        <f t="shared" si="19"/>
        <v>118998.70669534308</v>
      </c>
      <c r="I404" s="727">
        <f t="shared" si="20"/>
        <v>0</v>
      </c>
      <c r="J404" s="727"/>
      <c r="K404" s="877"/>
      <c r="L404" s="733"/>
      <c r="M404" s="877"/>
      <c r="N404" s="733"/>
      <c r="O404" s="733"/>
    </row>
    <row r="405" spans="2:15">
      <c r="B405" s="332"/>
      <c r="C405" s="723">
        <f>IF(D364="","-",+C404+1)</f>
        <v>2049</v>
      </c>
      <c r="D405" s="674">
        <f t="shared" si="23"/>
        <v>631280.86956521776</v>
      </c>
      <c r="E405" s="730">
        <f t="shared" si="21"/>
        <v>52606.739130434784</v>
      </c>
      <c r="F405" s="674">
        <f t="shared" si="22"/>
        <v>578674.13043478294</v>
      </c>
      <c r="G405" s="1265">
        <f t="shared" si="18"/>
        <v>113687.34929015042</v>
      </c>
      <c r="H405" s="1268">
        <f t="shared" si="19"/>
        <v>113687.34929015042</v>
      </c>
      <c r="I405" s="727">
        <f t="shared" si="20"/>
        <v>0</v>
      </c>
      <c r="J405" s="727"/>
      <c r="K405" s="877"/>
      <c r="L405" s="733"/>
      <c r="M405" s="877"/>
      <c r="N405" s="733"/>
      <c r="O405" s="733"/>
    </row>
    <row r="406" spans="2:15">
      <c r="B406" s="332"/>
      <c r="C406" s="723">
        <f>IF(D364="","-",+C405+1)</f>
        <v>2050</v>
      </c>
      <c r="D406" s="674">
        <f t="shared" si="23"/>
        <v>578674.13043478294</v>
      </c>
      <c r="E406" s="730">
        <f t="shared" si="21"/>
        <v>52606.739130434784</v>
      </c>
      <c r="F406" s="674">
        <f t="shared" si="22"/>
        <v>526067.39130434813</v>
      </c>
      <c r="G406" s="1265">
        <f t="shared" si="18"/>
        <v>108375.99188495775</v>
      </c>
      <c r="H406" s="1268">
        <f t="shared" si="19"/>
        <v>108375.99188495775</v>
      </c>
      <c r="I406" s="727">
        <f t="shared" si="20"/>
        <v>0</v>
      </c>
      <c r="J406" s="727"/>
      <c r="K406" s="877"/>
      <c r="L406" s="733"/>
      <c r="M406" s="877"/>
      <c r="N406" s="733"/>
      <c r="O406" s="733"/>
    </row>
    <row r="407" spans="2:15">
      <c r="B407" s="332"/>
      <c r="C407" s="723">
        <f>IF(D364="","-",+C406+1)</f>
        <v>2051</v>
      </c>
      <c r="D407" s="674">
        <f t="shared" si="23"/>
        <v>526067.39130434813</v>
      </c>
      <c r="E407" s="730">
        <f t="shared" si="21"/>
        <v>52606.739130434784</v>
      </c>
      <c r="F407" s="674">
        <f t="shared" si="22"/>
        <v>473460.65217391332</v>
      </c>
      <c r="G407" s="1265">
        <f t="shared" si="18"/>
        <v>103064.63447976508</v>
      </c>
      <c r="H407" s="1268">
        <f t="shared" si="19"/>
        <v>103064.63447976508</v>
      </c>
      <c r="I407" s="727">
        <f t="shared" si="20"/>
        <v>0</v>
      </c>
      <c r="J407" s="727"/>
      <c r="K407" s="877"/>
      <c r="L407" s="733"/>
      <c r="M407" s="877"/>
      <c r="N407" s="733"/>
      <c r="O407" s="733"/>
    </row>
    <row r="408" spans="2:15">
      <c r="B408" s="332"/>
      <c r="C408" s="723">
        <f>IF(D364="","-",+C407+1)</f>
        <v>2052</v>
      </c>
      <c r="D408" s="674">
        <f t="shared" si="23"/>
        <v>473460.65217391332</v>
      </c>
      <c r="E408" s="730">
        <f t="shared" si="21"/>
        <v>52606.739130434784</v>
      </c>
      <c r="F408" s="674">
        <f t="shared" si="22"/>
        <v>420853.9130434785</v>
      </c>
      <c r="G408" s="1265">
        <f t="shared" si="18"/>
        <v>97753.277074572426</v>
      </c>
      <c r="H408" s="1268">
        <f t="shared" si="19"/>
        <v>97753.277074572426</v>
      </c>
      <c r="I408" s="727">
        <f t="shared" si="20"/>
        <v>0</v>
      </c>
      <c r="J408" s="727"/>
      <c r="K408" s="877"/>
      <c r="L408" s="733"/>
      <c r="M408" s="877"/>
      <c r="N408" s="733"/>
      <c r="O408" s="733"/>
    </row>
    <row r="409" spans="2:15">
      <c r="B409" s="332"/>
      <c r="C409" s="723">
        <f>IF(D364="","-",+C408+1)</f>
        <v>2053</v>
      </c>
      <c r="D409" s="674">
        <f t="shared" si="23"/>
        <v>420853.9130434785</v>
      </c>
      <c r="E409" s="730">
        <f t="shared" si="21"/>
        <v>52606.739130434784</v>
      </c>
      <c r="F409" s="674">
        <f t="shared" si="22"/>
        <v>368247.17391304369</v>
      </c>
      <c r="G409" s="1265">
        <f t="shared" si="18"/>
        <v>92441.919669379771</v>
      </c>
      <c r="H409" s="1268">
        <f t="shared" si="19"/>
        <v>92441.919669379771</v>
      </c>
      <c r="I409" s="727">
        <f t="shared" si="20"/>
        <v>0</v>
      </c>
      <c r="J409" s="727"/>
      <c r="K409" s="877"/>
      <c r="L409" s="733"/>
      <c r="M409" s="877"/>
      <c r="N409" s="733"/>
      <c r="O409" s="733"/>
    </row>
    <row r="410" spans="2:15">
      <c r="B410" s="332"/>
      <c r="C410" s="723">
        <f>IF(D364="","-",+C409+1)</f>
        <v>2054</v>
      </c>
      <c r="D410" s="674">
        <f t="shared" si="23"/>
        <v>368247.17391304369</v>
      </c>
      <c r="E410" s="730">
        <f t="shared" si="21"/>
        <v>52606.739130434784</v>
      </c>
      <c r="F410" s="674">
        <f t="shared" si="22"/>
        <v>315640.43478260888</v>
      </c>
      <c r="G410" s="1265">
        <f t="shared" si="18"/>
        <v>87130.562264187101</v>
      </c>
      <c r="H410" s="1268">
        <f t="shared" si="19"/>
        <v>87130.562264187101</v>
      </c>
      <c r="I410" s="727">
        <f t="shared" si="20"/>
        <v>0</v>
      </c>
      <c r="J410" s="727"/>
      <c r="K410" s="877"/>
      <c r="L410" s="733"/>
      <c r="M410" s="877"/>
      <c r="N410" s="733"/>
      <c r="O410" s="733"/>
    </row>
    <row r="411" spans="2:15">
      <c r="B411" s="332"/>
      <c r="C411" s="723">
        <f>IF(D364="","-",+C410+1)</f>
        <v>2055</v>
      </c>
      <c r="D411" s="674">
        <f t="shared" si="23"/>
        <v>315640.43478260888</v>
      </c>
      <c r="E411" s="730">
        <f t="shared" si="21"/>
        <v>52606.739130434784</v>
      </c>
      <c r="F411" s="674">
        <f t="shared" si="22"/>
        <v>263033.69565217406</v>
      </c>
      <c r="G411" s="1265">
        <f t="shared" si="18"/>
        <v>81819.204858994432</v>
      </c>
      <c r="H411" s="1268">
        <f t="shared" si="19"/>
        <v>81819.204858994432</v>
      </c>
      <c r="I411" s="727">
        <f t="shared" si="20"/>
        <v>0</v>
      </c>
      <c r="J411" s="727"/>
      <c r="K411" s="877"/>
      <c r="L411" s="733"/>
      <c r="M411" s="877"/>
      <c r="N411" s="733"/>
      <c r="O411" s="733"/>
    </row>
    <row r="412" spans="2:15">
      <c r="B412" s="332"/>
      <c r="C412" s="723">
        <f>IF(D364="","-",+C411+1)</f>
        <v>2056</v>
      </c>
      <c r="D412" s="674">
        <f t="shared" si="23"/>
        <v>263033.69565217406</v>
      </c>
      <c r="E412" s="730">
        <f t="shared" si="21"/>
        <v>52606.739130434784</v>
      </c>
      <c r="F412" s="674">
        <f t="shared" si="22"/>
        <v>210426.95652173928</v>
      </c>
      <c r="G412" s="1265">
        <f t="shared" si="18"/>
        <v>76507.847453801776</v>
      </c>
      <c r="H412" s="1268">
        <f t="shared" si="19"/>
        <v>76507.847453801776</v>
      </c>
      <c r="I412" s="727">
        <f t="shared" si="20"/>
        <v>0</v>
      </c>
      <c r="J412" s="727"/>
      <c r="K412" s="877"/>
      <c r="L412" s="733"/>
      <c r="M412" s="877"/>
      <c r="N412" s="733"/>
      <c r="O412" s="733"/>
    </row>
    <row r="413" spans="2:15">
      <c r="B413" s="332"/>
      <c r="C413" s="723">
        <f>IF(D364="","-",+C412+1)</f>
        <v>2057</v>
      </c>
      <c r="D413" s="674">
        <f t="shared" si="23"/>
        <v>210426.95652173928</v>
      </c>
      <c r="E413" s="730">
        <f t="shared" si="21"/>
        <v>52606.739130434784</v>
      </c>
      <c r="F413" s="674">
        <f t="shared" si="22"/>
        <v>157820.2173913045</v>
      </c>
      <c r="G413" s="1265">
        <f t="shared" si="18"/>
        <v>71196.490048609121</v>
      </c>
      <c r="H413" s="1268">
        <f t="shared" si="19"/>
        <v>71196.490048609121</v>
      </c>
      <c r="I413" s="727">
        <f t="shared" si="20"/>
        <v>0</v>
      </c>
      <c r="J413" s="727"/>
      <c r="K413" s="877"/>
      <c r="L413" s="733"/>
      <c r="M413" s="877"/>
      <c r="N413" s="733"/>
      <c r="O413" s="733"/>
    </row>
    <row r="414" spans="2:15">
      <c r="B414" s="332"/>
      <c r="C414" s="723">
        <f>IF(D364="","-",+C413+1)</f>
        <v>2058</v>
      </c>
      <c r="D414" s="674">
        <f t="shared" si="23"/>
        <v>157820.2173913045</v>
      </c>
      <c r="E414" s="730">
        <f t="shared" si="21"/>
        <v>52606.739130434784</v>
      </c>
      <c r="F414" s="674">
        <f t="shared" si="22"/>
        <v>105213.47826086971</v>
      </c>
      <c r="G414" s="1265">
        <f t="shared" si="18"/>
        <v>65885.132643416451</v>
      </c>
      <c r="H414" s="1268">
        <f t="shared" si="19"/>
        <v>65885.132643416451</v>
      </c>
      <c r="I414" s="727">
        <f t="shared" si="20"/>
        <v>0</v>
      </c>
      <c r="J414" s="727"/>
      <c r="K414" s="877"/>
      <c r="L414" s="733"/>
      <c r="M414" s="877"/>
      <c r="N414" s="733"/>
      <c r="O414" s="733"/>
    </row>
    <row r="415" spans="2:15">
      <c r="B415" s="332"/>
      <c r="C415" s="723">
        <f>IF(D364="","-",+C414+1)</f>
        <v>2059</v>
      </c>
      <c r="D415" s="674">
        <f t="shared" si="23"/>
        <v>105213.47826086971</v>
      </c>
      <c r="E415" s="730">
        <f t="shared" si="21"/>
        <v>52606.739130434784</v>
      </c>
      <c r="F415" s="674">
        <f t="shared" si="22"/>
        <v>52606.739130434929</v>
      </c>
      <c r="G415" s="1265">
        <f t="shared" si="18"/>
        <v>60573.775238223789</v>
      </c>
      <c r="H415" s="1268">
        <f t="shared" si="19"/>
        <v>60573.775238223789</v>
      </c>
      <c r="I415" s="727">
        <f t="shared" si="20"/>
        <v>0</v>
      </c>
      <c r="J415" s="727"/>
      <c r="K415" s="877"/>
      <c r="L415" s="733"/>
      <c r="M415" s="877"/>
      <c r="N415" s="733"/>
      <c r="O415" s="733"/>
    </row>
    <row r="416" spans="2:15">
      <c r="B416" s="332"/>
      <c r="C416" s="723">
        <f>IF(D364="","-",+C415+1)</f>
        <v>2060</v>
      </c>
      <c r="D416" s="674">
        <f t="shared" si="23"/>
        <v>52606.739130434929</v>
      </c>
      <c r="E416" s="730">
        <f t="shared" si="21"/>
        <v>52606.739130434784</v>
      </c>
      <c r="F416" s="674">
        <f t="shared" si="22"/>
        <v>1.4551915228366852E-10</v>
      </c>
      <c r="G416" s="1265">
        <f t="shared" si="18"/>
        <v>55262.417833031126</v>
      </c>
      <c r="H416" s="1268">
        <f t="shared" si="19"/>
        <v>55262.417833031126</v>
      </c>
      <c r="I416" s="727">
        <f t="shared" si="20"/>
        <v>0</v>
      </c>
      <c r="J416" s="727"/>
      <c r="K416" s="877"/>
      <c r="L416" s="733"/>
      <c r="M416" s="877"/>
      <c r="N416" s="733"/>
      <c r="O416" s="733"/>
    </row>
    <row r="417" spans="2:15">
      <c r="B417" s="332"/>
      <c r="C417" s="723">
        <f>IF(D364="","-",+C416+1)</f>
        <v>2061</v>
      </c>
      <c r="D417" s="674">
        <f t="shared" si="23"/>
        <v>1.4551915228366852E-10</v>
      </c>
      <c r="E417" s="730">
        <f t="shared" si="21"/>
        <v>1.4551915228366852E-10</v>
      </c>
      <c r="F417" s="674">
        <f t="shared" si="22"/>
        <v>0</v>
      </c>
      <c r="G417" s="1265">
        <f t="shared" si="18"/>
        <v>1.5286520946051479E-10</v>
      </c>
      <c r="H417" s="1268">
        <f t="shared" si="19"/>
        <v>1.5286520946051479E-10</v>
      </c>
      <c r="I417" s="727">
        <f t="shared" si="20"/>
        <v>0</v>
      </c>
      <c r="J417" s="727"/>
      <c r="K417" s="877"/>
      <c r="L417" s="733"/>
      <c r="M417" s="877"/>
      <c r="N417" s="733"/>
      <c r="O417" s="733"/>
    </row>
    <row r="418" spans="2:15">
      <c r="B418" s="332"/>
      <c r="C418" s="723">
        <f>IF(D364="","-",+C417+1)</f>
        <v>2062</v>
      </c>
      <c r="D418" s="674">
        <f t="shared" si="23"/>
        <v>0</v>
      </c>
      <c r="E418" s="730">
        <f t="shared" si="21"/>
        <v>0</v>
      </c>
      <c r="F418" s="674">
        <f t="shared" si="22"/>
        <v>0</v>
      </c>
      <c r="G418" s="1265">
        <f t="shared" si="18"/>
        <v>0</v>
      </c>
      <c r="H418" s="1268">
        <f t="shared" si="19"/>
        <v>0</v>
      </c>
      <c r="I418" s="727">
        <f t="shared" si="20"/>
        <v>0</v>
      </c>
      <c r="J418" s="727"/>
      <c r="K418" s="877"/>
      <c r="L418" s="733"/>
      <c r="M418" s="877"/>
      <c r="N418" s="733"/>
      <c r="O418" s="733"/>
    </row>
    <row r="419" spans="2:15">
      <c r="B419" s="332"/>
      <c r="C419" s="723">
        <f>IF(D364="","-",+C418+1)</f>
        <v>2063</v>
      </c>
      <c r="D419" s="674">
        <f t="shared" si="23"/>
        <v>0</v>
      </c>
      <c r="E419" s="730">
        <f t="shared" si="21"/>
        <v>0</v>
      </c>
      <c r="F419" s="674">
        <f t="shared" si="22"/>
        <v>0</v>
      </c>
      <c r="G419" s="1265">
        <f t="shared" si="18"/>
        <v>0</v>
      </c>
      <c r="H419" s="1268">
        <f t="shared" si="19"/>
        <v>0</v>
      </c>
      <c r="I419" s="727">
        <f t="shared" si="20"/>
        <v>0</v>
      </c>
      <c r="J419" s="727"/>
      <c r="K419" s="877"/>
      <c r="L419" s="733"/>
      <c r="M419" s="877"/>
      <c r="N419" s="733"/>
      <c r="O419" s="733"/>
    </row>
    <row r="420" spans="2:15">
      <c r="B420" s="332"/>
      <c r="C420" s="723">
        <f>IF(D364="","-",+C419+1)</f>
        <v>2064</v>
      </c>
      <c r="D420" s="674">
        <f t="shared" si="23"/>
        <v>0</v>
      </c>
      <c r="E420" s="730">
        <f t="shared" si="21"/>
        <v>0</v>
      </c>
      <c r="F420" s="674">
        <f t="shared" si="22"/>
        <v>0</v>
      </c>
      <c r="G420" s="1265">
        <f t="shared" si="18"/>
        <v>0</v>
      </c>
      <c r="H420" s="1268">
        <f t="shared" si="19"/>
        <v>0</v>
      </c>
      <c r="I420" s="727">
        <f t="shared" si="20"/>
        <v>0</v>
      </c>
      <c r="J420" s="727"/>
      <c r="K420" s="877"/>
      <c r="L420" s="733"/>
      <c r="M420" s="877"/>
      <c r="N420" s="733"/>
      <c r="O420" s="733"/>
    </row>
    <row r="421" spans="2:15">
      <c r="B421" s="332"/>
      <c r="C421" s="723">
        <f>IF(D364="","-",+C420+1)</f>
        <v>2065</v>
      </c>
      <c r="D421" s="674">
        <f t="shared" si="23"/>
        <v>0</v>
      </c>
      <c r="E421" s="730">
        <f t="shared" si="21"/>
        <v>0</v>
      </c>
      <c r="F421" s="674">
        <f t="shared" si="22"/>
        <v>0</v>
      </c>
      <c r="G421" s="1265">
        <f t="shared" si="18"/>
        <v>0</v>
      </c>
      <c r="H421" s="1268">
        <f t="shared" si="19"/>
        <v>0</v>
      </c>
      <c r="I421" s="727">
        <f t="shared" si="20"/>
        <v>0</v>
      </c>
      <c r="J421" s="727"/>
      <c r="K421" s="877"/>
      <c r="L421" s="733"/>
      <c r="M421" s="877"/>
      <c r="N421" s="733"/>
      <c r="O421" s="733"/>
    </row>
    <row r="422" spans="2:15">
      <c r="B422" s="332"/>
      <c r="C422" s="723">
        <f>IF(D364="","-",+C421+1)</f>
        <v>2066</v>
      </c>
      <c r="D422" s="674">
        <f t="shared" si="23"/>
        <v>0</v>
      </c>
      <c r="E422" s="730">
        <f t="shared" si="21"/>
        <v>0</v>
      </c>
      <c r="F422" s="674">
        <f t="shared" si="22"/>
        <v>0</v>
      </c>
      <c r="G422" s="1265">
        <f t="shared" si="18"/>
        <v>0</v>
      </c>
      <c r="H422" s="1268">
        <f t="shared" si="19"/>
        <v>0</v>
      </c>
      <c r="I422" s="727">
        <f t="shared" si="20"/>
        <v>0</v>
      </c>
      <c r="J422" s="727"/>
      <c r="K422" s="877"/>
      <c r="L422" s="733"/>
      <c r="M422" s="877"/>
      <c r="N422" s="733"/>
      <c r="O422" s="733"/>
    </row>
    <row r="423" spans="2:15">
      <c r="B423" s="332"/>
      <c r="C423" s="723">
        <f>IF(D364="","-",+C422+1)</f>
        <v>2067</v>
      </c>
      <c r="D423" s="674">
        <f t="shared" si="23"/>
        <v>0</v>
      </c>
      <c r="E423" s="730">
        <f t="shared" si="21"/>
        <v>0</v>
      </c>
      <c r="F423" s="674">
        <f t="shared" si="22"/>
        <v>0</v>
      </c>
      <c r="G423" s="1265">
        <f t="shared" si="18"/>
        <v>0</v>
      </c>
      <c r="H423" s="1268">
        <f t="shared" si="19"/>
        <v>0</v>
      </c>
      <c r="I423" s="727">
        <f t="shared" si="20"/>
        <v>0</v>
      </c>
      <c r="J423" s="727"/>
      <c r="K423" s="877"/>
      <c r="L423" s="733"/>
      <c r="M423" s="877"/>
      <c r="N423" s="733"/>
      <c r="O423" s="733"/>
    </row>
    <row r="424" spans="2:15">
      <c r="B424" s="332"/>
      <c r="C424" s="723">
        <f>IF(D364="","-",+C423+1)</f>
        <v>2068</v>
      </c>
      <c r="D424" s="674">
        <f t="shared" si="23"/>
        <v>0</v>
      </c>
      <c r="E424" s="730">
        <f t="shared" si="21"/>
        <v>0</v>
      </c>
      <c r="F424" s="674">
        <f t="shared" si="22"/>
        <v>0</v>
      </c>
      <c r="G424" s="1265">
        <f t="shared" si="18"/>
        <v>0</v>
      </c>
      <c r="H424" s="1268">
        <f t="shared" si="19"/>
        <v>0</v>
      </c>
      <c r="I424" s="727">
        <f t="shared" si="20"/>
        <v>0</v>
      </c>
      <c r="J424" s="727"/>
      <c r="K424" s="877"/>
      <c r="L424" s="733"/>
      <c r="M424" s="877"/>
      <c r="N424" s="733"/>
      <c r="O424" s="733"/>
    </row>
    <row r="425" spans="2:15">
      <c r="B425" s="332"/>
      <c r="C425" s="723">
        <f>IF(D364="","-",+C424+1)</f>
        <v>2069</v>
      </c>
      <c r="D425" s="674">
        <f t="shared" si="23"/>
        <v>0</v>
      </c>
      <c r="E425" s="730">
        <f t="shared" si="21"/>
        <v>0</v>
      </c>
      <c r="F425" s="674">
        <f t="shared" si="22"/>
        <v>0</v>
      </c>
      <c r="G425" s="1265">
        <f t="shared" si="18"/>
        <v>0</v>
      </c>
      <c r="H425" s="1268">
        <f t="shared" si="19"/>
        <v>0</v>
      </c>
      <c r="I425" s="727">
        <f t="shared" si="20"/>
        <v>0</v>
      </c>
      <c r="J425" s="727"/>
      <c r="K425" s="877"/>
      <c r="L425" s="733"/>
      <c r="M425" s="877"/>
      <c r="N425" s="733"/>
      <c r="O425" s="733"/>
    </row>
    <row r="426" spans="2:15">
      <c r="B426" s="332"/>
      <c r="C426" s="723">
        <f>IF(D364="","-",+C425+1)</f>
        <v>2070</v>
      </c>
      <c r="D426" s="674">
        <f t="shared" si="23"/>
        <v>0</v>
      </c>
      <c r="E426" s="730">
        <f t="shared" si="21"/>
        <v>0</v>
      </c>
      <c r="F426" s="674">
        <f t="shared" si="22"/>
        <v>0</v>
      </c>
      <c r="G426" s="1265">
        <f t="shared" si="18"/>
        <v>0</v>
      </c>
      <c r="H426" s="1268">
        <f t="shared" si="19"/>
        <v>0</v>
      </c>
      <c r="I426" s="727">
        <f t="shared" si="20"/>
        <v>0</v>
      </c>
      <c r="J426" s="727"/>
      <c r="K426" s="877"/>
      <c r="L426" s="733"/>
      <c r="M426" s="877"/>
      <c r="N426" s="733"/>
      <c r="O426" s="733"/>
    </row>
    <row r="427" spans="2:15">
      <c r="B427" s="332"/>
      <c r="C427" s="723">
        <f>IF(D364="","-",+C426+1)</f>
        <v>2071</v>
      </c>
      <c r="D427" s="674">
        <f t="shared" si="23"/>
        <v>0</v>
      </c>
      <c r="E427" s="730">
        <f t="shared" si="21"/>
        <v>0</v>
      </c>
      <c r="F427" s="674">
        <f t="shared" si="22"/>
        <v>0</v>
      </c>
      <c r="G427" s="1265">
        <f t="shared" si="18"/>
        <v>0</v>
      </c>
      <c r="H427" s="1268">
        <f t="shared" si="19"/>
        <v>0</v>
      </c>
      <c r="I427" s="727">
        <f t="shared" si="20"/>
        <v>0</v>
      </c>
      <c r="J427" s="727"/>
      <c r="K427" s="877"/>
      <c r="L427" s="733"/>
      <c r="M427" s="877"/>
      <c r="N427" s="733"/>
      <c r="O427" s="733"/>
    </row>
    <row r="428" spans="2:15">
      <c r="B428" s="332"/>
      <c r="C428" s="723">
        <f>IF(D364="","-",+C427+1)</f>
        <v>2072</v>
      </c>
      <c r="D428" s="674">
        <f t="shared" si="23"/>
        <v>0</v>
      </c>
      <c r="E428" s="730">
        <f t="shared" si="21"/>
        <v>0</v>
      </c>
      <c r="F428" s="674">
        <f t="shared" si="22"/>
        <v>0</v>
      </c>
      <c r="G428" s="1265">
        <f t="shared" si="18"/>
        <v>0</v>
      </c>
      <c r="H428" s="1268">
        <f t="shared" si="19"/>
        <v>0</v>
      </c>
      <c r="I428" s="727">
        <f t="shared" si="20"/>
        <v>0</v>
      </c>
      <c r="J428" s="727"/>
      <c r="K428" s="877"/>
      <c r="L428" s="733"/>
      <c r="M428" s="877"/>
      <c r="N428" s="733"/>
      <c r="O428" s="733"/>
    </row>
    <row r="429" spans="2:15" ht="13.5" thickBot="1">
      <c r="B429" s="332"/>
      <c r="C429" s="735">
        <f>IF(D364="","-",+C428+1)</f>
        <v>2073</v>
      </c>
      <c r="D429" s="736">
        <f t="shared" si="23"/>
        <v>0</v>
      </c>
      <c r="E429" s="737">
        <f t="shared" si="21"/>
        <v>0</v>
      </c>
      <c r="F429" s="736">
        <f t="shared" si="22"/>
        <v>0</v>
      </c>
      <c r="G429" s="1275">
        <f t="shared" si="18"/>
        <v>0</v>
      </c>
      <c r="H429" s="1275">
        <f t="shared" si="19"/>
        <v>0</v>
      </c>
      <c r="I429" s="739">
        <f t="shared" si="20"/>
        <v>0</v>
      </c>
      <c r="J429" s="727"/>
      <c r="K429" s="878"/>
      <c r="L429" s="741"/>
      <c r="M429" s="878"/>
      <c r="N429" s="741"/>
      <c r="O429" s="741"/>
    </row>
    <row r="430" spans="2:15">
      <c r="B430" s="332"/>
      <c r="C430" s="674" t="s">
        <v>288</v>
      </c>
      <c r="D430" s="1246"/>
      <c r="E430" s="1246">
        <f>SUM(E370:E429)</f>
        <v>2419909.9999999995</v>
      </c>
      <c r="F430" s="1246"/>
      <c r="G430" s="1246">
        <f>SUM(G370:G429)</f>
        <v>8283648.5753326975</v>
      </c>
      <c r="H430" s="1246">
        <f>SUM(H370:H429)</f>
        <v>8283648.5753326975</v>
      </c>
      <c r="I430" s="1246">
        <f>SUM(I370:I429)</f>
        <v>0</v>
      </c>
      <c r="J430" s="1246"/>
      <c r="K430" s="1246"/>
      <c r="L430" s="1246"/>
      <c r="M430" s="1246"/>
      <c r="N430" s="1246"/>
      <c r="O430" s="541"/>
    </row>
    <row r="431" spans="2:15">
      <c r="B431" s="332"/>
      <c r="D431" s="564"/>
      <c r="E431" s="541"/>
      <c r="F431" s="541"/>
      <c r="G431" s="541"/>
      <c r="H431" s="1245"/>
      <c r="I431" s="1245"/>
      <c r="J431" s="1246"/>
      <c r="K431" s="1245"/>
      <c r="L431" s="1245"/>
      <c r="M431" s="1245"/>
      <c r="N431" s="1245"/>
      <c r="O431" s="541"/>
    </row>
    <row r="432" spans="2:15">
      <c r="B432" s="332"/>
      <c r="C432" s="541" t="s">
        <v>601</v>
      </c>
      <c r="D432" s="564"/>
      <c r="E432" s="541"/>
      <c r="F432" s="541"/>
      <c r="G432" s="541"/>
      <c r="H432" s="1245"/>
      <c r="I432" s="1245"/>
      <c r="J432" s="1246"/>
      <c r="K432" s="1245"/>
      <c r="L432" s="1245"/>
      <c r="M432" s="1245"/>
      <c r="N432" s="1245"/>
      <c r="O432" s="541"/>
    </row>
    <row r="433" spans="1:16">
      <c r="B433" s="332"/>
      <c r="D433" s="564"/>
      <c r="E433" s="541"/>
      <c r="F433" s="541"/>
      <c r="G433" s="541"/>
      <c r="H433" s="1245"/>
      <c r="I433" s="1245"/>
      <c r="J433" s="1246"/>
      <c r="K433" s="1245"/>
      <c r="L433" s="1245"/>
      <c r="M433" s="1245"/>
      <c r="N433" s="1245"/>
      <c r="O433" s="541"/>
    </row>
    <row r="434" spans="1:16">
      <c r="B434" s="332"/>
      <c r="C434" s="577" t="s">
        <v>602</v>
      </c>
      <c r="D434" s="674"/>
      <c r="E434" s="674"/>
      <c r="F434" s="674"/>
      <c r="G434" s="1246"/>
      <c r="H434" s="1246"/>
      <c r="I434" s="675"/>
      <c r="J434" s="675"/>
      <c r="K434" s="675"/>
      <c r="L434" s="675"/>
      <c r="M434" s="675"/>
      <c r="N434" s="675"/>
      <c r="O434" s="541"/>
    </row>
    <row r="435" spans="1:16">
      <c r="B435" s="332"/>
      <c r="C435" s="577" t="s">
        <v>476</v>
      </c>
      <c r="D435" s="674"/>
      <c r="E435" s="674"/>
      <c r="F435" s="674"/>
      <c r="G435" s="1246"/>
      <c r="H435" s="1246"/>
      <c r="I435" s="675"/>
      <c r="J435" s="675"/>
      <c r="K435" s="675"/>
      <c r="L435" s="675"/>
      <c r="M435" s="675"/>
      <c r="N435" s="675"/>
      <c r="O435" s="541"/>
    </row>
    <row r="436" spans="1:16">
      <c r="B436" s="332"/>
      <c r="C436" s="577" t="s">
        <v>289</v>
      </c>
      <c r="D436" s="674"/>
      <c r="E436" s="674"/>
      <c r="F436" s="674"/>
      <c r="G436" s="1246"/>
      <c r="H436" s="1246"/>
      <c r="I436" s="675"/>
      <c r="J436" s="675"/>
      <c r="K436" s="675"/>
      <c r="L436" s="675"/>
      <c r="M436" s="675"/>
      <c r="N436" s="675"/>
      <c r="O436" s="541"/>
    </row>
    <row r="437" spans="1:16">
      <c r="B437" s="332"/>
      <c r="C437" s="673"/>
      <c r="D437" s="674"/>
      <c r="E437" s="674"/>
      <c r="F437" s="674"/>
      <c r="G437" s="1246"/>
      <c r="H437" s="1246"/>
      <c r="I437" s="675"/>
      <c r="J437" s="675"/>
      <c r="K437" s="675"/>
      <c r="L437" s="675"/>
      <c r="M437" s="675"/>
      <c r="N437" s="675"/>
      <c r="O437" s="541"/>
    </row>
    <row r="438" spans="1:16">
      <c r="B438" s="332"/>
      <c r="C438" s="1543" t="s">
        <v>460</v>
      </c>
      <c r="D438" s="1543"/>
      <c r="E438" s="1543"/>
      <c r="F438" s="1543"/>
      <c r="G438" s="1543"/>
      <c r="H438" s="1543"/>
      <c r="I438" s="1543"/>
      <c r="J438" s="1543"/>
      <c r="K438" s="1543"/>
      <c r="L438" s="1543"/>
      <c r="M438" s="1543"/>
      <c r="N438" s="1543"/>
      <c r="O438" s="1543"/>
    </row>
    <row r="439" spans="1:16">
      <c r="B439" s="332"/>
      <c r="C439" s="1543"/>
      <c r="D439" s="1543"/>
      <c r="E439" s="1543"/>
      <c r="F439" s="1543"/>
      <c r="G439" s="1543"/>
      <c r="H439" s="1543"/>
      <c r="I439" s="1543"/>
      <c r="J439" s="1543"/>
      <c r="K439" s="1543"/>
      <c r="L439" s="1543"/>
      <c r="M439" s="1543"/>
      <c r="N439" s="1543"/>
      <c r="O439" s="1543"/>
    </row>
    <row r="440" spans="1:16" ht="20.25">
      <c r="A440" s="676" t="s">
        <v>972</v>
      </c>
      <c r="B440" s="541"/>
      <c r="C440" s="656"/>
      <c r="D440" s="564"/>
      <c r="E440" s="541"/>
      <c r="F440" s="646"/>
      <c r="G440" s="541"/>
      <c r="H440" s="1245"/>
      <c r="K440" s="677"/>
      <c r="L440" s="677"/>
      <c r="M440" s="677"/>
      <c r="N440" s="592" t="str">
        <f>"Page "&amp;SUM(P$6:P440)&amp;" of "</f>
        <v xml:space="preserve">Page 6 of </v>
      </c>
      <c r="O440" s="593">
        <f>COUNT(P$6:P$59606)</f>
        <v>14</v>
      </c>
      <c r="P440" s="541">
        <v>1</v>
      </c>
    </row>
    <row r="441" spans="1:16">
      <c r="B441" s="541"/>
      <c r="C441" s="541"/>
      <c r="D441" s="564"/>
      <c r="E441" s="541"/>
      <c r="F441" s="541"/>
      <c r="G441" s="541"/>
      <c r="H441" s="1245"/>
      <c r="I441" s="541"/>
      <c r="J441" s="589"/>
      <c r="K441" s="541"/>
      <c r="L441" s="541"/>
      <c r="M441" s="541"/>
      <c r="N441" s="541"/>
      <c r="O441" s="541"/>
    </row>
    <row r="442" spans="1:16" ht="18">
      <c r="B442" s="596" t="s">
        <v>174</v>
      </c>
      <c r="C442" s="678" t="s">
        <v>290</v>
      </c>
      <c r="D442" s="564"/>
      <c r="E442" s="541"/>
      <c r="F442" s="541"/>
      <c r="G442" s="541"/>
      <c r="H442" s="1245"/>
      <c r="I442" s="1245"/>
      <c r="J442" s="1246"/>
      <c r="K442" s="1245"/>
      <c r="L442" s="1245"/>
      <c r="M442" s="1245"/>
      <c r="N442" s="1245"/>
      <c r="O442" s="541"/>
    </row>
    <row r="443" spans="1:16" ht="18.75">
      <c r="B443" s="596"/>
      <c r="C443" s="595"/>
      <c r="D443" s="564"/>
      <c r="E443" s="541"/>
      <c r="F443" s="541"/>
      <c r="G443" s="541"/>
      <c r="H443" s="1245"/>
      <c r="I443" s="1245"/>
      <c r="J443" s="1246"/>
      <c r="K443" s="1245"/>
      <c r="L443" s="1245"/>
      <c r="M443" s="1245"/>
      <c r="N443" s="1245"/>
      <c r="O443" s="541"/>
    </row>
    <row r="444" spans="1:16" ht="18.75">
      <c r="B444" s="596"/>
      <c r="C444" s="595" t="s">
        <v>291</v>
      </c>
      <c r="D444" s="564"/>
      <c r="E444" s="541"/>
      <c r="F444" s="541"/>
      <c r="G444" s="541"/>
      <c r="H444" s="1245"/>
      <c r="I444" s="1245"/>
      <c r="J444" s="1246"/>
      <c r="K444" s="1245"/>
      <c r="L444" s="1245"/>
      <c r="M444" s="1245"/>
      <c r="N444" s="1245"/>
      <c r="O444" s="541"/>
    </row>
    <row r="445" spans="1:16" ht="15.75" thickBot="1">
      <c r="B445" s="332"/>
      <c r="C445" s="398"/>
      <c r="D445" s="564"/>
      <c r="E445" s="541"/>
      <c r="F445" s="541"/>
      <c r="G445" s="541"/>
      <c r="H445" s="1245"/>
      <c r="I445" s="1245"/>
      <c r="J445" s="1246"/>
      <c r="K445" s="1245"/>
      <c r="L445" s="1245"/>
      <c r="M445" s="1245"/>
      <c r="N445" s="1245"/>
      <c r="O445" s="541"/>
    </row>
    <row r="446" spans="1:16" ht="15.75">
      <c r="B446" s="332"/>
      <c r="C446" s="597" t="s">
        <v>292</v>
      </c>
      <c r="D446" s="564"/>
      <c r="E446" s="541"/>
      <c r="F446" s="541"/>
      <c r="G446" s="1247"/>
      <c r="H446" s="541" t="s">
        <v>271</v>
      </c>
      <c r="I446" s="541"/>
      <c r="J446" s="589"/>
      <c r="K446" s="679" t="s">
        <v>296</v>
      </c>
      <c r="L446" s="680"/>
      <c r="M446" s="681"/>
      <c r="N446" s="1248">
        <f>VLOOKUP(I452,C459:O518,5)</f>
        <v>1758061.9160065209</v>
      </c>
      <c r="O446" s="541"/>
    </row>
    <row r="447" spans="1:16" ht="15.75">
      <c r="B447" s="332"/>
      <c r="C447" s="597"/>
      <c r="D447" s="564"/>
      <c r="E447" s="541"/>
      <c r="F447" s="541"/>
      <c r="G447" s="541"/>
      <c r="H447" s="1249"/>
      <c r="I447" s="1249"/>
      <c r="J447" s="1250"/>
      <c r="K447" s="684" t="s">
        <v>297</v>
      </c>
      <c r="L447" s="1251"/>
      <c r="M447" s="589"/>
      <c r="N447" s="1252">
        <f>VLOOKUP(I452,C459:O518,6)</f>
        <v>1758061.9160065209</v>
      </c>
      <c r="O447" s="541"/>
    </row>
    <row r="448" spans="1:16" ht="13.5" thickBot="1">
      <c r="B448" s="332"/>
      <c r="C448" s="685" t="s">
        <v>293</v>
      </c>
      <c r="D448" s="1544" t="s">
        <v>978</v>
      </c>
      <c r="E448" s="1544"/>
      <c r="F448" s="1544"/>
      <c r="G448" s="1544"/>
      <c r="H448" s="1544"/>
      <c r="I448" s="1245"/>
      <c r="J448" s="1246"/>
      <c r="K448" s="1253" t="s">
        <v>450</v>
      </c>
      <c r="L448" s="1254"/>
      <c r="M448" s="1254"/>
      <c r="N448" s="1255">
        <f>+N447-N446</f>
        <v>0</v>
      </c>
      <c r="O448" s="541"/>
    </row>
    <row r="449" spans="1:15">
      <c r="B449" s="332"/>
      <c r="C449" s="687"/>
      <c r="D449" s="688"/>
      <c r="E449" s="672"/>
      <c r="F449" s="672"/>
      <c r="G449" s="689"/>
      <c r="H449" s="1245"/>
      <c r="I449" s="1245"/>
      <c r="J449" s="1246"/>
      <c r="K449" s="1245"/>
      <c r="L449" s="1245"/>
      <c r="M449" s="1245"/>
      <c r="N449" s="1245"/>
      <c r="O449" s="541"/>
    </row>
    <row r="450" spans="1:15" ht="13.5" thickBot="1">
      <c r="B450" s="332"/>
      <c r="C450" s="690"/>
      <c r="D450" s="691"/>
      <c r="E450" s="689"/>
      <c r="F450" s="689"/>
      <c r="G450" s="689"/>
      <c r="H450" s="689"/>
      <c r="I450" s="689"/>
      <c r="J450" s="692"/>
      <c r="K450" s="689"/>
      <c r="L450" s="689"/>
      <c r="M450" s="689"/>
      <c r="N450" s="689"/>
      <c r="O450" s="577"/>
    </row>
    <row r="451" spans="1:15" ht="13.5" thickBot="1">
      <c r="B451" s="332"/>
      <c r="C451" s="694" t="s">
        <v>294</v>
      </c>
      <c r="D451" s="695"/>
      <c r="E451" s="695"/>
      <c r="F451" s="695"/>
      <c r="G451" s="695"/>
      <c r="H451" s="695"/>
      <c r="I451" s="696"/>
      <c r="J451" s="697"/>
      <c r="K451" s="541"/>
      <c r="L451" s="541"/>
      <c r="M451" s="541"/>
      <c r="N451" s="541"/>
      <c r="O451" s="698"/>
    </row>
    <row r="452" spans="1:15" ht="15">
      <c r="C452" s="700" t="s">
        <v>272</v>
      </c>
      <c r="D452" s="1256">
        <v>15164191</v>
      </c>
      <c r="E452" s="656" t="s">
        <v>273</v>
      </c>
      <c r="G452" s="701"/>
      <c r="H452" s="701"/>
      <c r="I452" s="702">
        <v>2018</v>
      </c>
      <c r="J452" s="587"/>
      <c r="K452" s="1542" t="s">
        <v>459</v>
      </c>
      <c r="L452" s="1542"/>
      <c r="M452" s="1542"/>
      <c r="N452" s="1542"/>
      <c r="O452" s="1542"/>
    </row>
    <row r="453" spans="1:15">
      <c r="C453" s="700" t="s">
        <v>275</v>
      </c>
      <c r="D453" s="872">
        <v>2015</v>
      </c>
      <c r="E453" s="700" t="s">
        <v>276</v>
      </c>
      <c r="F453" s="701"/>
      <c r="H453" s="332"/>
      <c r="I453" s="875">
        <f>IF(G446="",0,$F$15)</f>
        <v>0</v>
      </c>
      <c r="J453" s="703"/>
      <c r="K453" s="1246" t="s">
        <v>459</v>
      </c>
    </row>
    <row r="454" spans="1:15">
      <c r="C454" s="700" t="s">
        <v>277</v>
      </c>
      <c r="D454" s="1257">
        <v>5</v>
      </c>
      <c r="E454" s="700" t="s">
        <v>278</v>
      </c>
      <c r="F454" s="701"/>
      <c r="H454" s="332"/>
      <c r="I454" s="704">
        <f>$G$70</f>
        <v>0.1009634410531228</v>
      </c>
      <c r="J454" s="705"/>
      <c r="K454" s="332" t="str">
        <f>"          INPUT PROJECTED ARR (WITH &amp; WITHOUT INCENTIVES) FROM EACH PRIOR YEAR"</f>
        <v xml:space="preserve">          INPUT PROJECTED ARR (WITH &amp; WITHOUT INCENTIVES) FROM EACH PRIOR YEAR</v>
      </c>
    </row>
    <row r="455" spans="1:15">
      <c r="C455" s="700" t="s">
        <v>279</v>
      </c>
      <c r="D455" s="706">
        <f>G$79</f>
        <v>46</v>
      </c>
      <c r="E455" s="700" t="s">
        <v>280</v>
      </c>
      <c r="F455" s="701"/>
      <c r="H455" s="332"/>
      <c r="I455" s="704">
        <f>IF(G446="",I454,$G$67)</f>
        <v>0.1009634410531228</v>
      </c>
      <c r="J455" s="707"/>
      <c r="K455" s="332" t="s">
        <v>357</v>
      </c>
    </row>
    <row r="456" spans="1:15" ht="13.5" thickBot="1">
      <c r="C456" s="700" t="s">
        <v>281</v>
      </c>
      <c r="D456" s="874" t="s">
        <v>974</v>
      </c>
      <c r="E456" s="708" t="s">
        <v>282</v>
      </c>
      <c r="F456" s="709"/>
      <c r="G456" s="710"/>
      <c r="H456" s="710"/>
      <c r="I456" s="1255">
        <f>IF(D452=0,0,D452/D455)</f>
        <v>329656.32608695654</v>
      </c>
      <c r="J456" s="1246"/>
      <c r="K456" s="1246" t="s">
        <v>363</v>
      </c>
      <c r="L456" s="1246"/>
      <c r="M456" s="1246"/>
      <c r="N456" s="1246"/>
      <c r="O456" s="589"/>
    </row>
    <row r="457" spans="1:15" ht="51">
      <c r="A457" s="528"/>
      <c r="B457" s="528"/>
      <c r="C457" s="711" t="s">
        <v>272</v>
      </c>
      <c r="D457" s="1258" t="s">
        <v>283</v>
      </c>
      <c r="E457" s="1259" t="s">
        <v>284</v>
      </c>
      <c r="F457" s="1258" t="s">
        <v>285</v>
      </c>
      <c r="G457" s="1259" t="s">
        <v>356</v>
      </c>
      <c r="H457" s="1260" t="s">
        <v>356</v>
      </c>
      <c r="I457" s="711" t="s">
        <v>295</v>
      </c>
      <c r="J457" s="715"/>
      <c r="K457" s="1259" t="s">
        <v>365</v>
      </c>
      <c r="L457" s="1261"/>
      <c r="M457" s="1259" t="s">
        <v>365</v>
      </c>
      <c r="N457" s="1261"/>
      <c r="O457" s="1261"/>
    </row>
    <row r="458" spans="1:15" ht="13.5" thickBot="1">
      <c r="B458" s="332"/>
      <c r="C458" s="717" t="s">
        <v>177</v>
      </c>
      <c r="D458" s="718" t="s">
        <v>178</v>
      </c>
      <c r="E458" s="717" t="s">
        <v>37</v>
      </c>
      <c r="F458" s="718" t="s">
        <v>178</v>
      </c>
      <c r="G458" s="1262" t="s">
        <v>298</v>
      </c>
      <c r="H458" s="1263" t="s">
        <v>300</v>
      </c>
      <c r="I458" s="721" t="s">
        <v>389</v>
      </c>
      <c r="J458" s="722"/>
      <c r="K458" s="1281" t="s">
        <v>287</v>
      </c>
      <c r="L458" s="1264"/>
      <c r="M458" s="1281" t="s">
        <v>300</v>
      </c>
      <c r="N458" s="1264"/>
      <c r="O458" s="1264"/>
    </row>
    <row r="459" spans="1:15">
      <c r="B459" s="332"/>
      <c r="C459" s="723">
        <f>IF(D453= "","-",D453)</f>
        <v>2015</v>
      </c>
      <c r="D459" s="674">
        <f>+D452</f>
        <v>15164191</v>
      </c>
      <c r="E459" s="1265">
        <f>+I456/12*(12-D454)</f>
        <v>192299.52355072467</v>
      </c>
      <c r="F459" s="674">
        <f t="shared" ref="F459:F518" si="24">+D459-E459</f>
        <v>14971891.476449275</v>
      </c>
      <c r="G459" s="1266">
        <f>+$I$454*((D459+F459)/2)+E459</f>
        <v>1713620.8168922411</v>
      </c>
      <c r="H459" s="1267">
        <f>+$I$455*((D459+F459)/2)+E459</f>
        <v>1713620.8168922411</v>
      </c>
      <c r="I459" s="727">
        <f t="shared" ref="I459:I518" si="25">+H459-G459</f>
        <v>0</v>
      </c>
      <c r="J459" s="1282"/>
      <c r="K459" s="1283">
        <v>2647738</v>
      </c>
      <c r="L459" s="1284"/>
      <c r="M459" s="1283">
        <v>2647738</v>
      </c>
      <c r="N459" s="1285"/>
      <c r="O459" s="729"/>
    </row>
    <row r="460" spans="1:15">
      <c r="B460" s="332"/>
      <c r="C460" s="723">
        <f>IF(D453="","-",+C459+1)</f>
        <v>2016</v>
      </c>
      <c r="D460" s="674">
        <f t="shared" ref="D460:D518" si="26">F459</f>
        <v>14971891.476449275</v>
      </c>
      <c r="E460" s="730">
        <f>IF(D460&gt;$I$456,$I$456,D460)</f>
        <v>329656.32608695654</v>
      </c>
      <c r="F460" s="674">
        <f t="shared" si="24"/>
        <v>14642235.150362318</v>
      </c>
      <c r="G460" s="1265">
        <f t="shared" ref="G460:G518" si="27">+$I$454*((D460+F460)/2)+E460</f>
        <v>1824628.3900998598</v>
      </c>
      <c r="H460" s="1268">
        <f t="shared" ref="H460:H518" si="28">+$I$455*((D460+F460)/2)+E460</f>
        <v>1824628.3900998598</v>
      </c>
      <c r="I460" s="727">
        <f t="shared" si="25"/>
        <v>0</v>
      </c>
      <c r="J460" s="1282"/>
      <c r="K460" s="1283">
        <v>2089493</v>
      </c>
      <c r="L460" s="1286"/>
      <c r="M460" s="1283">
        <v>2089493</v>
      </c>
      <c r="N460" s="1287"/>
      <c r="O460" s="733"/>
    </row>
    <row r="461" spans="1:15">
      <c r="B461" s="332"/>
      <c r="C461" s="723">
        <f>IF(D453="","-",+C460+1)</f>
        <v>2017</v>
      </c>
      <c r="D461" s="674">
        <f t="shared" si="26"/>
        <v>14642235.150362318</v>
      </c>
      <c r="E461" s="730">
        <f t="shared" ref="E461:E518" si="29">IF(D461&gt;$I$456,$I$456,D461)</f>
        <v>329656.32608695654</v>
      </c>
      <c r="F461" s="674">
        <f t="shared" si="24"/>
        <v>14312578.824275361</v>
      </c>
      <c r="G461" s="1265">
        <f t="shared" si="27"/>
        <v>1791345.1530531903</v>
      </c>
      <c r="H461" s="1268">
        <f t="shared" si="28"/>
        <v>1791345.1530531903</v>
      </c>
      <c r="I461" s="727">
        <f t="shared" si="25"/>
        <v>0</v>
      </c>
      <c r="J461" s="727"/>
      <c r="K461" s="877">
        <v>2647738</v>
      </c>
      <c r="L461" s="1278"/>
      <c r="M461" s="877">
        <v>2647738</v>
      </c>
      <c r="N461" s="733"/>
      <c r="O461" s="733"/>
    </row>
    <row r="462" spans="1:15">
      <c r="B462" s="332"/>
      <c r="C462" s="1269">
        <f>IF(D453="","-",+C461+1)</f>
        <v>2018</v>
      </c>
      <c r="D462" s="1270">
        <f t="shared" si="26"/>
        <v>14312578.824275361</v>
      </c>
      <c r="E462" s="1271">
        <f t="shared" si="29"/>
        <v>329656.32608695654</v>
      </c>
      <c r="F462" s="1270">
        <f t="shared" si="24"/>
        <v>13982922.498188404</v>
      </c>
      <c r="G462" s="1272">
        <f t="shared" si="27"/>
        <v>1758061.9160065209</v>
      </c>
      <c r="H462" s="1273">
        <f t="shared" si="28"/>
        <v>1758061.9160065209</v>
      </c>
      <c r="I462" s="1279">
        <f t="shared" si="25"/>
        <v>0</v>
      </c>
      <c r="J462" s="727"/>
      <c r="K462" s="877"/>
      <c r="L462" s="733"/>
      <c r="M462" s="877"/>
      <c r="N462" s="733"/>
      <c r="O462" s="733"/>
    </row>
    <row r="463" spans="1:15">
      <c r="B463" s="332"/>
      <c r="C463" s="723">
        <f>IF(D453="","-",+C462+1)</f>
        <v>2019</v>
      </c>
      <c r="D463" s="674">
        <f t="shared" si="26"/>
        <v>13982922.498188404</v>
      </c>
      <c r="E463" s="730">
        <f t="shared" si="29"/>
        <v>329656.32608695654</v>
      </c>
      <c r="F463" s="674">
        <f t="shared" si="24"/>
        <v>13653266.172101447</v>
      </c>
      <c r="G463" s="1265">
        <f t="shared" si="27"/>
        <v>1724778.6789598514</v>
      </c>
      <c r="H463" s="1268">
        <f t="shared" si="28"/>
        <v>1724778.6789598514</v>
      </c>
      <c r="I463" s="727">
        <f t="shared" si="25"/>
        <v>0</v>
      </c>
      <c r="J463" s="727"/>
      <c r="K463" s="877"/>
      <c r="L463" s="733"/>
      <c r="M463" s="877"/>
      <c r="N463" s="733"/>
      <c r="O463" s="733"/>
    </row>
    <row r="464" spans="1:15">
      <c r="B464" s="332"/>
      <c r="C464" s="723">
        <f>IF(D453="","-",+C463+1)</f>
        <v>2020</v>
      </c>
      <c r="D464" s="674">
        <f t="shared" si="26"/>
        <v>13653266.172101447</v>
      </c>
      <c r="E464" s="730">
        <f t="shared" si="29"/>
        <v>329656.32608695654</v>
      </c>
      <c r="F464" s="674">
        <f t="shared" si="24"/>
        <v>13323609.84601449</v>
      </c>
      <c r="G464" s="1265">
        <f t="shared" si="27"/>
        <v>1691495.4419131819</v>
      </c>
      <c r="H464" s="1268">
        <f t="shared" si="28"/>
        <v>1691495.4419131819</v>
      </c>
      <c r="I464" s="727">
        <f t="shared" si="25"/>
        <v>0</v>
      </c>
      <c r="J464" s="727"/>
      <c r="K464" s="877"/>
      <c r="L464" s="733"/>
      <c r="M464" s="877"/>
      <c r="N464" s="733"/>
      <c r="O464" s="733"/>
    </row>
    <row r="465" spans="2:15">
      <c r="B465" s="332"/>
      <c r="C465" s="723">
        <f>IF(D453="","-",+C464+1)</f>
        <v>2021</v>
      </c>
      <c r="D465" s="674">
        <f t="shared" si="26"/>
        <v>13323609.84601449</v>
      </c>
      <c r="E465" s="730">
        <f t="shared" si="29"/>
        <v>329656.32608695654</v>
      </c>
      <c r="F465" s="674">
        <f t="shared" si="24"/>
        <v>12993953.519927533</v>
      </c>
      <c r="G465" s="1265">
        <f t="shared" si="27"/>
        <v>1658212.2048665122</v>
      </c>
      <c r="H465" s="1268">
        <f t="shared" si="28"/>
        <v>1658212.2048665122</v>
      </c>
      <c r="I465" s="727">
        <f t="shared" si="25"/>
        <v>0</v>
      </c>
      <c r="J465" s="727"/>
      <c r="K465" s="877"/>
      <c r="L465" s="733"/>
      <c r="M465" s="877"/>
      <c r="N465" s="733"/>
      <c r="O465" s="733"/>
    </row>
    <row r="466" spans="2:15">
      <c r="B466" s="332"/>
      <c r="C466" s="723">
        <f>IF(D453="","-",+C465+1)</f>
        <v>2022</v>
      </c>
      <c r="D466" s="674">
        <f t="shared" si="26"/>
        <v>12993953.519927533</v>
      </c>
      <c r="E466" s="730">
        <f t="shared" si="29"/>
        <v>329656.32608695654</v>
      </c>
      <c r="F466" s="674">
        <f t="shared" si="24"/>
        <v>12664297.193840576</v>
      </c>
      <c r="G466" s="1265">
        <f t="shared" si="27"/>
        <v>1624928.9678198427</v>
      </c>
      <c r="H466" s="1268">
        <f t="shared" si="28"/>
        <v>1624928.9678198427</v>
      </c>
      <c r="I466" s="727">
        <f t="shared" si="25"/>
        <v>0</v>
      </c>
      <c r="J466" s="727"/>
      <c r="K466" s="877"/>
      <c r="L466" s="733"/>
      <c r="M466" s="877"/>
      <c r="N466" s="733"/>
      <c r="O466" s="733"/>
    </row>
    <row r="467" spans="2:15">
      <c r="B467" s="332"/>
      <c r="C467" s="723">
        <f>IF(D453="","-",+C466+1)</f>
        <v>2023</v>
      </c>
      <c r="D467" s="674">
        <f t="shared" si="26"/>
        <v>12664297.193840576</v>
      </c>
      <c r="E467" s="730">
        <f t="shared" si="29"/>
        <v>329656.32608695654</v>
      </c>
      <c r="F467" s="674">
        <f t="shared" si="24"/>
        <v>12334640.867753619</v>
      </c>
      <c r="G467" s="1265">
        <f t="shared" si="27"/>
        <v>1591645.7307731733</v>
      </c>
      <c r="H467" s="1268">
        <f t="shared" si="28"/>
        <v>1591645.7307731733</v>
      </c>
      <c r="I467" s="727">
        <f t="shared" si="25"/>
        <v>0</v>
      </c>
      <c r="J467" s="727"/>
      <c r="K467" s="877"/>
      <c r="L467" s="733"/>
      <c r="M467" s="877"/>
      <c r="N467" s="733"/>
      <c r="O467" s="733"/>
    </row>
    <row r="468" spans="2:15">
      <c r="B468" s="332"/>
      <c r="C468" s="723">
        <f>IF(D453="","-",+C467+1)</f>
        <v>2024</v>
      </c>
      <c r="D468" s="674">
        <f t="shared" si="26"/>
        <v>12334640.867753619</v>
      </c>
      <c r="E468" s="730">
        <f t="shared" si="29"/>
        <v>329656.32608695654</v>
      </c>
      <c r="F468" s="674">
        <f t="shared" si="24"/>
        <v>12004984.541666662</v>
      </c>
      <c r="G468" s="1265">
        <f t="shared" si="27"/>
        <v>1558362.4937265038</v>
      </c>
      <c r="H468" s="1268">
        <f t="shared" si="28"/>
        <v>1558362.4937265038</v>
      </c>
      <c r="I468" s="727">
        <f t="shared" si="25"/>
        <v>0</v>
      </c>
      <c r="J468" s="727"/>
      <c r="K468" s="877"/>
      <c r="L468" s="733"/>
      <c r="M468" s="877"/>
      <c r="N468" s="733"/>
      <c r="O468" s="733"/>
    </row>
    <row r="469" spans="2:15">
      <c r="B469" s="332"/>
      <c r="C469" s="723">
        <f>IF(D453="","-",+C468+1)</f>
        <v>2025</v>
      </c>
      <c r="D469" s="674">
        <f t="shared" si="26"/>
        <v>12004984.541666662</v>
      </c>
      <c r="E469" s="730">
        <f t="shared" si="29"/>
        <v>329656.32608695654</v>
      </c>
      <c r="F469" s="674">
        <f t="shared" si="24"/>
        <v>11675328.215579705</v>
      </c>
      <c r="G469" s="1265">
        <f t="shared" si="27"/>
        <v>1525079.2566798343</v>
      </c>
      <c r="H469" s="1268">
        <f t="shared" si="28"/>
        <v>1525079.2566798343</v>
      </c>
      <c r="I469" s="727">
        <f t="shared" si="25"/>
        <v>0</v>
      </c>
      <c r="J469" s="727"/>
      <c r="K469" s="877"/>
      <c r="L469" s="733"/>
      <c r="M469" s="877"/>
      <c r="N469" s="733"/>
      <c r="O469" s="733"/>
    </row>
    <row r="470" spans="2:15">
      <c r="B470" s="332"/>
      <c r="C470" s="723">
        <f>IF(D453="","-",+C469+1)</f>
        <v>2026</v>
      </c>
      <c r="D470" s="674">
        <f t="shared" si="26"/>
        <v>11675328.215579705</v>
      </c>
      <c r="E470" s="730">
        <f t="shared" si="29"/>
        <v>329656.32608695654</v>
      </c>
      <c r="F470" s="674">
        <f t="shared" si="24"/>
        <v>11345671.889492748</v>
      </c>
      <c r="G470" s="1265">
        <f t="shared" si="27"/>
        <v>1491796.0196331649</v>
      </c>
      <c r="H470" s="1268">
        <f t="shared" si="28"/>
        <v>1491796.0196331649</v>
      </c>
      <c r="I470" s="727">
        <f t="shared" si="25"/>
        <v>0</v>
      </c>
      <c r="J470" s="727"/>
      <c r="K470" s="877"/>
      <c r="L470" s="733"/>
      <c r="M470" s="877"/>
      <c r="N470" s="733"/>
      <c r="O470" s="733"/>
    </row>
    <row r="471" spans="2:15">
      <c r="B471" s="332"/>
      <c r="C471" s="723">
        <f>IF(D453="","-",+C470+1)</f>
        <v>2027</v>
      </c>
      <c r="D471" s="674">
        <f t="shared" si="26"/>
        <v>11345671.889492748</v>
      </c>
      <c r="E471" s="730">
        <f t="shared" si="29"/>
        <v>329656.32608695654</v>
      </c>
      <c r="F471" s="674">
        <f t="shared" si="24"/>
        <v>11016015.563405791</v>
      </c>
      <c r="G471" s="1265">
        <f t="shared" si="27"/>
        <v>1458512.7825864952</v>
      </c>
      <c r="H471" s="1268">
        <f t="shared" si="28"/>
        <v>1458512.7825864952</v>
      </c>
      <c r="I471" s="727">
        <f t="shared" si="25"/>
        <v>0</v>
      </c>
      <c r="J471" s="727"/>
      <c r="K471" s="877"/>
      <c r="L471" s="733"/>
      <c r="M471" s="877"/>
      <c r="N471" s="734"/>
      <c r="O471" s="733"/>
    </row>
    <row r="472" spans="2:15">
      <c r="B472" s="332"/>
      <c r="C472" s="723">
        <f>IF(D453="","-",+C471+1)</f>
        <v>2028</v>
      </c>
      <c r="D472" s="674">
        <f t="shared" si="26"/>
        <v>11016015.563405791</v>
      </c>
      <c r="E472" s="730">
        <f t="shared" si="29"/>
        <v>329656.32608695654</v>
      </c>
      <c r="F472" s="674">
        <f t="shared" si="24"/>
        <v>10686359.237318834</v>
      </c>
      <c r="G472" s="1265">
        <f t="shared" si="27"/>
        <v>1425229.5455398257</v>
      </c>
      <c r="H472" s="1268">
        <f t="shared" si="28"/>
        <v>1425229.5455398257</v>
      </c>
      <c r="I472" s="727">
        <f t="shared" si="25"/>
        <v>0</v>
      </c>
      <c r="J472" s="727"/>
      <c r="K472" s="877"/>
      <c r="L472" s="733"/>
      <c r="M472" s="877"/>
      <c r="N472" s="733"/>
      <c r="O472" s="733"/>
    </row>
    <row r="473" spans="2:15">
      <c r="B473" s="332"/>
      <c r="C473" s="723">
        <f>IF(D453="","-",+C472+1)</f>
        <v>2029</v>
      </c>
      <c r="D473" s="674">
        <f t="shared" si="26"/>
        <v>10686359.237318834</v>
      </c>
      <c r="E473" s="730">
        <f t="shared" si="29"/>
        <v>329656.32608695654</v>
      </c>
      <c r="F473" s="674">
        <f t="shared" si="24"/>
        <v>10356702.911231877</v>
      </c>
      <c r="G473" s="1265">
        <f t="shared" si="27"/>
        <v>1391946.3084931562</v>
      </c>
      <c r="H473" s="1268">
        <f t="shared" si="28"/>
        <v>1391946.3084931562</v>
      </c>
      <c r="I473" s="727">
        <f t="shared" si="25"/>
        <v>0</v>
      </c>
      <c r="J473" s="727"/>
      <c r="K473" s="877"/>
      <c r="L473" s="733"/>
      <c r="M473" s="877"/>
      <c r="N473" s="733"/>
      <c r="O473" s="733"/>
    </row>
    <row r="474" spans="2:15">
      <c r="B474" s="332"/>
      <c r="C474" s="723">
        <f>IF(D453="","-",+C473+1)</f>
        <v>2030</v>
      </c>
      <c r="D474" s="674">
        <f t="shared" si="26"/>
        <v>10356702.911231877</v>
      </c>
      <c r="E474" s="730">
        <f t="shared" si="29"/>
        <v>329656.32608695654</v>
      </c>
      <c r="F474" s="674">
        <f t="shared" si="24"/>
        <v>10027046.58514492</v>
      </c>
      <c r="G474" s="1265">
        <f t="shared" si="27"/>
        <v>1358663.0714464867</v>
      </c>
      <c r="H474" s="1268">
        <f t="shared" si="28"/>
        <v>1358663.0714464867</v>
      </c>
      <c r="I474" s="727">
        <f t="shared" si="25"/>
        <v>0</v>
      </c>
      <c r="J474" s="727"/>
      <c r="K474" s="877"/>
      <c r="L474" s="733"/>
      <c r="M474" s="877"/>
      <c r="N474" s="733"/>
      <c r="O474" s="733"/>
    </row>
    <row r="475" spans="2:15">
      <c r="B475" s="332"/>
      <c r="C475" s="723">
        <f>IF(D453="","-",+C474+1)</f>
        <v>2031</v>
      </c>
      <c r="D475" s="674">
        <f t="shared" si="26"/>
        <v>10027046.58514492</v>
      </c>
      <c r="E475" s="730">
        <f t="shared" si="29"/>
        <v>329656.32608695654</v>
      </c>
      <c r="F475" s="674">
        <f t="shared" si="24"/>
        <v>9697390.2590579633</v>
      </c>
      <c r="G475" s="1265">
        <f t="shared" si="27"/>
        <v>1325379.834399817</v>
      </c>
      <c r="H475" s="1268">
        <f t="shared" si="28"/>
        <v>1325379.834399817</v>
      </c>
      <c r="I475" s="727">
        <f t="shared" si="25"/>
        <v>0</v>
      </c>
      <c r="J475" s="727"/>
      <c r="K475" s="877"/>
      <c r="L475" s="733"/>
      <c r="M475" s="877"/>
      <c r="N475" s="733"/>
      <c r="O475" s="733"/>
    </row>
    <row r="476" spans="2:15">
      <c r="B476" s="332"/>
      <c r="C476" s="723">
        <f>IF(D453="","-",+C475+1)</f>
        <v>2032</v>
      </c>
      <c r="D476" s="674">
        <f t="shared" si="26"/>
        <v>9697390.2590579633</v>
      </c>
      <c r="E476" s="730">
        <f t="shared" si="29"/>
        <v>329656.32608695654</v>
      </c>
      <c r="F476" s="674">
        <f t="shared" si="24"/>
        <v>9367733.9329710063</v>
      </c>
      <c r="G476" s="1265">
        <f t="shared" si="27"/>
        <v>1292096.5973531478</v>
      </c>
      <c r="H476" s="1268">
        <f t="shared" si="28"/>
        <v>1292096.5973531478</v>
      </c>
      <c r="I476" s="727">
        <f t="shared" si="25"/>
        <v>0</v>
      </c>
      <c r="J476" s="727"/>
      <c r="K476" s="877"/>
      <c r="L476" s="733"/>
      <c r="M476" s="877"/>
      <c r="N476" s="733"/>
      <c r="O476" s="733"/>
    </row>
    <row r="477" spans="2:15">
      <c r="B477" s="332"/>
      <c r="C477" s="723">
        <f>IF(D453="","-",+C476+1)</f>
        <v>2033</v>
      </c>
      <c r="D477" s="674">
        <f t="shared" si="26"/>
        <v>9367733.9329710063</v>
      </c>
      <c r="E477" s="730">
        <f t="shared" si="29"/>
        <v>329656.32608695654</v>
      </c>
      <c r="F477" s="674">
        <f t="shared" si="24"/>
        <v>9038077.6068840493</v>
      </c>
      <c r="G477" s="1265">
        <f t="shared" si="27"/>
        <v>1258813.3603064781</v>
      </c>
      <c r="H477" s="1268">
        <f t="shared" si="28"/>
        <v>1258813.3603064781</v>
      </c>
      <c r="I477" s="727">
        <f t="shared" si="25"/>
        <v>0</v>
      </c>
      <c r="J477" s="727"/>
      <c r="K477" s="877"/>
      <c r="L477" s="733"/>
      <c r="M477" s="877"/>
      <c r="N477" s="733"/>
      <c r="O477" s="733"/>
    </row>
    <row r="478" spans="2:15">
      <c r="B478" s="332"/>
      <c r="C478" s="723">
        <f>IF(D453="","-",+C477+1)</f>
        <v>2034</v>
      </c>
      <c r="D478" s="674">
        <f t="shared" si="26"/>
        <v>9038077.6068840493</v>
      </c>
      <c r="E478" s="730">
        <f t="shared" si="29"/>
        <v>329656.32608695654</v>
      </c>
      <c r="F478" s="674">
        <f t="shared" si="24"/>
        <v>8708421.2807970922</v>
      </c>
      <c r="G478" s="1265">
        <f t="shared" si="27"/>
        <v>1225530.1232598086</v>
      </c>
      <c r="H478" s="1268">
        <f t="shared" si="28"/>
        <v>1225530.1232598086</v>
      </c>
      <c r="I478" s="727">
        <f t="shared" si="25"/>
        <v>0</v>
      </c>
      <c r="J478" s="727"/>
      <c r="K478" s="877"/>
      <c r="L478" s="733"/>
      <c r="M478" s="877"/>
      <c r="N478" s="733"/>
      <c r="O478" s="733"/>
    </row>
    <row r="479" spans="2:15">
      <c r="B479" s="332"/>
      <c r="C479" s="723">
        <f>IF(D453="","-",+C478+1)</f>
        <v>2035</v>
      </c>
      <c r="D479" s="674">
        <f t="shared" si="26"/>
        <v>8708421.2807970922</v>
      </c>
      <c r="E479" s="730">
        <f t="shared" si="29"/>
        <v>329656.32608695654</v>
      </c>
      <c r="F479" s="674">
        <f t="shared" si="24"/>
        <v>8378764.9547101352</v>
      </c>
      <c r="G479" s="1265">
        <f t="shared" si="27"/>
        <v>1192246.8862131392</v>
      </c>
      <c r="H479" s="1268">
        <f t="shared" si="28"/>
        <v>1192246.8862131392</v>
      </c>
      <c r="I479" s="727">
        <f t="shared" si="25"/>
        <v>0</v>
      </c>
      <c r="J479" s="727"/>
      <c r="K479" s="877"/>
      <c r="L479" s="733"/>
      <c r="M479" s="877"/>
      <c r="N479" s="733"/>
      <c r="O479" s="733"/>
    </row>
    <row r="480" spans="2:15">
      <c r="B480" s="332"/>
      <c r="C480" s="723">
        <f>IF(D453="","-",+C479+1)</f>
        <v>2036</v>
      </c>
      <c r="D480" s="674">
        <f t="shared" si="26"/>
        <v>8378764.9547101352</v>
      </c>
      <c r="E480" s="730">
        <f t="shared" si="29"/>
        <v>329656.32608695654</v>
      </c>
      <c r="F480" s="674">
        <f t="shared" si="24"/>
        <v>8049108.6286231782</v>
      </c>
      <c r="G480" s="1265">
        <f t="shared" si="27"/>
        <v>1158963.6491664697</v>
      </c>
      <c r="H480" s="1268">
        <f t="shared" si="28"/>
        <v>1158963.6491664697</v>
      </c>
      <c r="I480" s="727">
        <f t="shared" si="25"/>
        <v>0</v>
      </c>
      <c r="J480" s="727"/>
      <c r="K480" s="877"/>
      <c r="L480" s="733"/>
      <c r="M480" s="877"/>
      <c r="N480" s="733"/>
      <c r="O480" s="733"/>
    </row>
    <row r="481" spans="2:15">
      <c r="B481" s="332"/>
      <c r="C481" s="723">
        <f>IF(D453="","-",+C480+1)</f>
        <v>2037</v>
      </c>
      <c r="D481" s="674">
        <f t="shared" si="26"/>
        <v>8049108.6286231782</v>
      </c>
      <c r="E481" s="730">
        <f t="shared" si="29"/>
        <v>329656.32608695654</v>
      </c>
      <c r="F481" s="674">
        <f t="shared" si="24"/>
        <v>7719452.3025362212</v>
      </c>
      <c r="G481" s="1265">
        <f t="shared" si="27"/>
        <v>1125680.4121198002</v>
      </c>
      <c r="H481" s="1268">
        <f t="shared" si="28"/>
        <v>1125680.4121198002</v>
      </c>
      <c r="I481" s="727">
        <f t="shared" si="25"/>
        <v>0</v>
      </c>
      <c r="J481" s="727"/>
      <c r="K481" s="877"/>
      <c r="L481" s="733"/>
      <c r="M481" s="877"/>
      <c r="N481" s="733"/>
      <c r="O481" s="733"/>
    </row>
    <row r="482" spans="2:15">
      <c r="B482" s="332"/>
      <c r="C482" s="723">
        <f>IF(D453="","-",+C481+1)</f>
        <v>2038</v>
      </c>
      <c r="D482" s="674">
        <f t="shared" si="26"/>
        <v>7719452.3025362212</v>
      </c>
      <c r="E482" s="730">
        <f t="shared" si="29"/>
        <v>329656.32608695654</v>
      </c>
      <c r="F482" s="674">
        <f t="shared" si="24"/>
        <v>7389795.9764492642</v>
      </c>
      <c r="G482" s="1265">
        <f t="shared" si="27"/>
        <v>1092397.1750731305</v>
      </c>
      <c r="H482" s="1268">
        <f t="shared" si="28"/>
        <v>1092397.1750731305</v>
      </c>
      <c r="I482" s="727">
        <f t="shared" si="25"/>
        <v>0</v>
      </c>
      <c r="J482" s="727"/>
      <c r="K482" s="877"/>
      <c r="L482" s="733"/>
      <c r="M482" s="877"/>
      <c r="N482" s="733"/>
      <c r="O482" s="733"/>
    </row>
    <row r="483" spans="2:15">
      <c r="B483" s="332"/>
      <c r="C483" s="723">
        <f>IF(D453="","-",+C482+1)</f>
        <v>2039</v>
      </c>
      <c r="D483" s="674">
        <f t="shared" si="26"/>
        <v>7389795.9764492642</v>
      </c>
      <c r="E483" s="730">
        <f t="shared" si="29"/>
        <v>329656.32608695654</v>
      </c>
      <c r="F483" s="674">
        <f t="shared" si="24"/>
        <v>7060139.6503623072</v>
      </c>
      <c r="G483" s="1265">
        <f t="shared" si="27"/>
        <v>1059113.9380264611</v>
      </c>
      <c r="H483" s="1268">
        <f t="shared" si="28"/>
        <v>1059113.9380264611</v>
      </c>
      <c r="I483" s="727">
        <f t="shared" si="25"/>
        <v>0</v>
      </c>
      <c r="J483" s="727"/>
      <c r="K483" s="877"/>
      <c r="L483" s="733"/>
      <c r="M483" s="877"/>
      <c r="N483" s="733"/>
      <c r="O483" s="733"/>
    </row>
    <row r="484" spans="2:15">
      <c r="B484" s="332"/>
      <c r="C484" s="723">
        <f>IF(D453="","-",+C483+1)</f>
        <v>2040</v>
      </c>
      <c r="D484" s="674">
        <f t="shared" si="26"/>
        <v>7060139.6503623072</v>
      </c>
      <c r="E484" s="730">
        <f t="shared" si="29"/>
        <v>329656.32608695654</v>
      </c>
      <c r="F484" s="674">
        <f t="shared" si="24"/>
        <v>6730483.3242753502</v>
      </c>
      <c r="G484" s="1265">
        <f t="shared" si="27"/>
        <v>1025830.7009797916</v>
      </c>
      <c r="H484" s="1268">
        <f t="shared" si="28"/>
        <v>1025830.7009797916</v>
      </c>
      <c r="I484" s="727">
        <f t="shared" si="25"/>
        <v>0</v>
      </c>
      <c r="J484" s="727"/>
      <c r="K484" s="877"/>
      <c r="L484" s="733"/>
      <c r="M484" s="877"/>
      <c r="N484" s="733"/>
      <c r="O484" s="733"/>
    </row>
    <row r="485" spans="2:15">
      <c r="B485" s="332"/>
      <c r="C485" s="723">
        <f>IF(D453="","-",+C484+1)</f>
        <v>2041</v>
      </c>
      <c r="D485" s="674">
        <f t="shared" si="26"/>
        <v>6730483.3242753502</v>
      </c>
      <c r="E485" s="730">
        <f t="shared" si="29"/>
        <v>329656.32608695654</v>
      </c>
      <c r="F485" s="674">
        <f t="shared" si="24"/>
        <v>6400826.9981883932</v>
      </c>
      <c r="G485" s="1265">
        <f t="shared" si="27"/>
        <v>992547.46393312211</v>
      </c>
      <c r="H485" s="1268">
        <f t="shared" si="28"/>
        <v>992547.46393312211</v>
      </c>
      <c r="I485" s="727">
        <f t="shared" si="25"/>
        <v>0</v>
      </c>
      <c r="J485" s="727"/>
      <c r="K485" s="877"/>
      <c r="L485" s="733"/>
      <c r="M485" s="877"/>
      <c r="N485" s="733"/>
      <c r="O485" s="733"/>
    </row>
    <row r="486" spans="2:15">
      <c r="B486" s="332"/>
      <c r="C486" s="723">
        <f>IF(D453="","-",+C485+1)</f>
        <v>2042</v>
      </c>
      <c r="D486" s="674">
        <f t="shared" si="26"/>
        <v>6400826.9981883932</v>
      </c>
      <c r="E486" s="730">
        <f t="shared" si="29"/>
        <v>329656.32608695654</v>
      </c>
      <c r="F486" s="674">
        <f t="shared" si="24"/>
        <v>6071170.6721014362</v>
      </c>
      <c r="G486" s="1265">
        <f t="shared" si="27"/>
        <v>959264.22688645252</v>
      </c>
      <c r="H486" s="1268">
        <f t="shared" si="28"/>
        <v>959264.22688645252</v>
      </c>
      <c r="I486" s="727">
        <f t="shared" si="25"/>
        <v>0</v>
      </c>
      <c r="J486" s="727"/>
      <c r="K486" s="877"/>
      <c r="L486" s="733"/>
      <c r="M486" s="877"/>
      <c r="N486" s="733"/>
      <c r="O486" s="733"/>
    </row>
    <row r="487" spans="2:15">
      <c r="B487" s="332"/>
      <c r="C487" s="723">
        <f>IF(D453="","-",+C486+1)</f>
        <v>2043</v>
      </c>
      <c r="D487" s="674">
        <f t="shared" si="26"/>
        <v>6071170.6721014362</v>
      </c>
      <c r="E487" s="730">
        <f t="shared" si="29"/>
        <v>329656.32608695654</v>
      </c>
      <c r="F487" s="674">
        <f t="shared" si="24"/>
        <v>5741514.3460144792</v>
      </c>
      <c r="G487" s="1274">
        <f t="shared" si="27"/>
        <v>925980.98983978305</v>
      </c>
      <c r="H487" s="1268">
        <f t="shared" si="28"/>
        <v>925980.98983978305</v>
      </c>
      <c r="I487" s="727">
        <f t="shared" si="25"/>
        <v>0</v>
      </c>
      <c r="J487" s="727"/>
      <c r="K487" s="877"/>
      <c r="L487" s="733"/>
      <c r="M487" s="877"/>
      <c r="N487" s="733"/>
      <c r="O487" s="733"/>
    </row>
    <row r="488" spans="2:15">
      <c r="B488" s="332"/>
      <c r="C488" s="723">
        <f>IF(D453="","-",+C487+1)</f>
        <v>2044</v>
      </c>
      <c r="D488" s="674">
        <f t="shared" si="26"/>
        <v>5741514.3460144792</v>
      </c>
      <c r="E488" s="730">
        <f t="shared" si="29"/>
        <v>329656.32608695654</v>
      </c>
      <c r="F488" s="674">
        <f t="shared" si="24"/>
        <v>5411858.0199275222</v>
      </c>
      <c r="G488" s="1265">
        <f t="shared" si="27"/>
        <v>892697.75279311358</v>
      </c>
      <c r="H488" s="1268">
        <f t="shared" si="28"/>
        <v>892697.75279311358</v>
      </c>
      <c r="I488" s="727">
        <f t="shared" si="25"/>
        <v>0</v>
      </c>
      <c r="J488" s="727"/>
      <c r="K488" s="877"/>
      <c r="L488" s="733"/>
      <c r="M488" s="877"/>
      <c r="N488" s="733"/>
      <c r="O488" s="733"/>
    </row>
    <row r="489" spans="2:15">
      <c r="B489" s="332"/>
      <c r="C489" s="723">
        <f>IF(D453="","-",+C488+1)</f>
        <v>2045</v>
      </c>
      <c r="D489" s="674">
        <f t="shared" si="26"/>
        <v>5411858.0199275222</v>
      </c>
      <c r="E489" s="730">
        <f t="shared" si="29"/>
        <v>329656.32608695654</v>
      </c>
      <c r="F489" s="674">
        <f t="shared" si="24"/>
        <v>5082201.6938405652</v>
      </c>
      <c r="G489" s="1265">
        <f t="shared" si="27"/>
        <v>859414.515746444</v>
      </c>
      <c r="H489" s="1268">
        <f t="shared" si="28"/>
        <v>859414.515746444</v>
      </c>
      <c r="I489" s="727">
        <f t="shared" si="25"/>
        <v>0</v>
      </c>
      <c r="J489" s="727"/>
      <c r="K489" s="877"/>
      <c r="L489" s="733"/>
      <c r="M489" s="877"/>
      <c r="N489" s="733"/>
      <c r="O489" s="733"/>
    </row>
    <row r="490" spans="2:15">
      <c r="B490" s="332"/>
      <c r="C490" s="723">
        <f>IF(D453="","-",+C489+1)</f>
        <v>2046</v>
      </c>
      <c r="D490" s="674">
        <f t="shared" si="26"/>
        <v>5082201.6938405652</v>
      </c>
      <c r="E490" s="730">
        <f t="shared" si="29"/>
        <v>329656.32608695654</v>
      </c>
      <c r="F490" s="674">
        <f t="shared" si="24"/>
        <v>4752545.3677536082</v>
      </c>
      <c r="G490" s="1265">
        <f t="shared" si="27"/>
        <v>826131.27869977453</v>
      </c>
      <c r="H490" s="1268">
        <f t="shared" si="28"/>
        <v>826131.27869977453</v>
      </c>
      <c r="I490" s="727">
        <f t="shared" si="25"/>
        <v>0</v>
      </c>
      <c r="J490" s="727"/>
      <c r="K490" s="877"/>
      <c r="L490" s="733"/>
      <c r="M490" s="877"/>
      <c r="N490" s="733"/>
      <c r="O490" s="733"/>
    </row>
    <row r="491" spans="2:15">
      <c r="B491" s="332"/>
      <c r="C491" s="723">
        <f>IF(D453="","-",+C490+1)</f>
        <v>2047</v>
      </c>
      <c r="D491" s="674">
        <f t="shared" si="26"/>
        <v>4752545.3677536082</v>
      </c>
      <c r="E491" s="730">
        <f t="shared" si="29"/>
        <v>329656.32608695654</v>
      </c>
      <c r="F491" s="674">
        <f t="shared" si="24"/>
        <v>4422889.0416666511</v>
      </c>
      <c r="G491" s="1265">
        <f t="shared" si="27"/>
        <v>792848.04165310506</v>
      </c>
      <c r="H491" s="1268">
        <f t="shared" si="28"/>
        <v>792848.04165310506</v>
      </c>
      <c r="I491" s="727">
        <f t="shared" si="25"/>
        <v>0</v>
      </c>
      <c r="J491" s="727"/>
      <c r="K491" s="877"/>
      <c r="L491" s="733"/>
      <c r="M491" s="877"/>
      <c r="N491" s="733"/>
      <c r="O491" s="733"/>
    </row>
    <row r="492" spans="2:15">
      <c r="B492" s="332"/>
      <c r="C492" s="723">
        <f>IF(D453="","-",+C491+1)</f>
        <v>2048</v>
      </c>
      <c r="D492" s="674">
        <f t="shared" si="26"/>
        <v>4422889.0416666511</v>
      </c>
      <c r="E492" s="730">
        <f t="shared" si="29"/>
        <v>329656.32608695654</v>
      </c>
      <c r="F492" s="674">
        <f t="shared" si="24"/>
        <v>4093232.7155796946</v>
      </c>
      <c r="G492" s="1265">
        <f t="shared" si="27"/>
        <v>759564.80460643559</v>
      </c>
      <c r="H492" s="1268">
        <f t="shared" si="28"/>
        <v>759564.80460643559</v>
      </c>
      <c r="I492" s="727">
        <f t="shared" si="25"/>
        <v>0</v>
      </c>
      <c r="J492" s="727"/>
      <c r="K492" s="877"/>
      <c r="L492" s="733"/>
      <c r="M492" s="877"/>
      <c r="N492" s="733"/>
      <c r="O492" s="733"/>
    </row>
    <row r="493" spans="2:15">
      <c r="B493" s="332"/>
      <c r="C493" s="723">
        <f>IF(D453="","-",+C492+1)</f>
        <v>2049</v>
      </c>
      <c r="D493" s="674">
        <f t="shared" si="26"/>
        <v>4093232.7155796946</v>
      </c>
      <c r="E493" s="730">
        <f t="shared" si="29"/>
        <v>329656.32608695654</v>
      </c>
      <c r="F493" s="674">
        <f t="shared" si="24"/>
        <v>3763576.3894927381</v>
      </c>
      <c r="G493" s="1265">
        <f t="shared" si="27"/>
        <v>726281.56755976612</v>
      </c>
      <c r="H493" s="1268">
        <f t="shared" si="28"/>
        <v>726281.56755976612</v>
      </c>
      <c r="I493" s="727">
        <f t="shared" si="25"/>
        <v>0</v>
      </c>
      <c r="J493" s="727"/>
      <c r="K493" s="877"/>
      <c r="L493" s="733"/>
      <c r="M493" s="877"/>
      <c r="N493" s="733"/>
      <c r="O493" s="733"/>
    </row>
    <row r="494" spans="2:15">
      <c r="B494" s="332"/>
      <c r="C494" s="723">
        <f>IF(D453="","-",+C493+1)</f>
        <v>2050</v>
      </c>
      <c r="D494" s="674">
        <f t="shared" si="26"/>
        <v>3763576.3894927381</v>
      </c>
      <c r="E494" s="730">
        <f t="shared" si="29"/>
        <v>329656.32608695654</v>
      </c>
      <c r="F494" s="674">
        <f t="shared" si="24"/>
        <v>3433920.0634057815</v>
      </c>
      <c r="G494" s="1265">
        <f t="shared" si="27"/>
        <v>692998.33051309665</v>
      </c>
      <c r="H494" s="1268">
        <f t="shared" si="28"/>
        <v>692998.33051309665</v>
      </c>
      <c r="I494" s="727">
        <f t="shared" si="25"/>
        <v>0</v>
      </c>
      <c r="J494" s="727"/>
      <c r="K494" s="877"/>
      <c r="L494" s="733"/>
      <c r="M494" s="877"/>
      <c r="N494" s="733"/>
      <c r="O494" s="733"/>
    </row>
    <row r="495" spans="2:15">
      <c r="B495" s="332"/>
      <c r="C495" s="723">
        <f>IF(D453="","-",+C494+1)</f>
        <v>2051</v>
      </c>
      <c r="D495" s="674">
        <f t="shared" si="26"/>
        <v>3433920.0634057815</v>
      </c>
      <c r="E495" s="730">
        <f t="shared" si="29"/>
        <v>329656.32608695654</v>
      </c>
      <c r="F495" s="674">
        <f t="shared" si="24"/>
        <v>3104263.737318825</v>
      </c>
      <c r="G495" s="1265">
        <f t="shared" si="27"/>
        <v>659715.09346642718</v>
      </c>
      <c r="H495" s="1268">
        <f t="shared" si="28"/>
        <v>659715.09346642718</v>
      </c>
      <c r="I495" s="727">
        <f t="shared" si="25"/>
        <v>0</v>
      </c>
      <c r="J495" s="727"/>
      <c r="K495" s="877"/>
      <c r="L495" s="733"/>
      <c r="M495" s="877"/>
      <c r="N495" s="733"/>
      <c r="O495" s="733"/>
    </row>
    <row r="496" spans="2:15">
      <c r="B496" s="332"/>
      <c r="C496" s="723">
        <f>IF(D453="","-",+C495+1)</f>
        <v>2052</v>
      </c>
      <c r="D496" s="674">
        <f t="shared" si="26"/>
        <v>3104263.737318825</v>
      </c>
      <c r="E496" s="730">
        <f t="shared" si="29"/>
        <v>329656.32608695654</v>
      </c>
      <c r="F496" s="674">
        <f t="shared" si="24"/>
        <v>2774607.4112318684</v>
      </c>
      <c r="G496" s="1265">
        <f t="shared" si="27"/>
        <v>626431.85641975771</v>
      </c>
      <c r="H496" s="1268">
        <f t="shared" si="28"/>
        <v>626431.85641975771</v>
      </c>
      <c r="I496" s="727">
        <f t="shared" si="25"/>
        <v>0</v>
      </c>
      <c r="J496" s="727"/>
      <c r="K496" s="877"/>
      <c r="L496" s="733"/>
      <c r="M496" s="877"/>
      <c r="N496" s="733"/>
      <c r="O496" s="733"/>
    </row>
    <row r="497" spans="2:15">
      <c r="B497" s="332"/>
      <c r="C497" s="723">
        <f>IF(D453="","-",+C496+1)</f>
        <v>2053</v>
      </c>
      <c r="D497" s="674">
        <f t="shared" si="26"/>
        <v>2774607.4112318684</v>
      </c>
      <c r="E497" s="730">
        <f t="shared" si="29"/>
        <v>329656.32608695654</v>
      </c>
      <c r="F497" s="674">
        <f t="shared" si="24"/>
        <v>2444951.0851449119</v>
      </c>
      <c r="G497" s="1265">
        <f t="shared" si="27"/>
        <v>593148.61937308824</v>
      </c>
      <c r="H497" s="1268">
        <f t="shared" si="28"/>
        <v>593148.61937308824</v>
      </c>
      <c r="I497" s="727">
        <f t="shared" si="25"/>
        <v>0</v>
      </c>
      <c r="J497" s="727"/>
      <c r="K497" s="877"/>
      <c r="L497" s="733"/>
      <c r="M497" s="877"/>
      <c r="N497" s="733"/>
      <c r="O497" s="733"/>
    </row>
    <row r="498" spans="2:15">
      <c r="B498" s="332"/>
      <c r="C498" s="723">
        <f>IF(D453="","-",+C497+1)</f>
        <v>2054</v>
      </c>
      <c r="D498" s="674">
        <f t="shared" si="26"/>
        <v>2444951.0851449119</v>
      </c>
      <c r="E498" s="730">
        <f t="shared" si="29"/>
        <v>329656.32608695654</v>
      </c>
      <c r="F498" s="674">
        <f t="shared" si="24"/>
        <v>2115294.7590579554</v>
      </c>
      <c r="G498" s="1265">
        <f t="shared" si="27"/>
        <v>559865.38232641877</v>
      </c>
      <c r="H498" s="1268">
        <f t="shared" si="28"/>
        <v>559865.38232641877</v>
      </c>
      <c r="I498" s="727">
        <f t="shared" si="25"/>
        <v>0</v>
      </c>
      <c r="J498" s="727"/>
      <c r="K498" s="877"/>
      <c r="L498" s="733"/>
      <c r="M498" s="877"/>
      <c r="N498" s="733"/>
      <c r="O498" s="733"/>
    </row>
    <row r="499" spans="2:15">
      <c r="B499" s="332"/>
      <c r="C499" s="723">
        <f>IF(D453="","-",+C498+1)</f>
        <v>2055</v>
      </c>
      <c r="D499" s="674">
        <f t="shared" si="26"/>
        <v>2115294.7590579554</v>
      </c>
      <c r="E499" s="730">
        <f t="shared" si="29"/>
        <v>329656.32608695654</v>
      </c>
      <c r="F499" s="674">
        <f t="shared" si="24"/>
        <v>1785638.4329709988</v>
      </c>
      <c r="G499" s="1265">
        <f t="shared" si="27"/>
        <v>526582.1452797493</v>
      </c>
      <c r="H499" s="1268">
        <f t="shared" si="28"/>
        <v>526582.1452797493</v>
      </c>
      <c r="I499" s="727">
        <f t="shared" si="25"/>
        <v>0</v>
      </c>
      <c r="J499" s="727"/>
      <c r="K499" s="877"/>
      <c r="L499" s="733"/>
      <c r="M499" s="877"/>
      <c r="N499" s="733"/>
      <c r="O499" s="733"/>
    </row>
    <row r="500" spans="2:15">
      <c r="B500" s="332"/>
      <c r="C500" s="723">
        <f>IF(D453="","-",+C499+1)</f>
        <v>2056</v>
      </c>
      <c r="D500" s="674">
        <f t="shared" si="26"/>
        <v>1785638.4329709988</v>
      </c>
      <c r="E500" s="730">
        <f t="shared" si="29"/>
        <v>329656.32608695654</v>
      </c>
      <c r="F500" s="674">
        <f t="shared" si="24"/>
        <v>1455982.1068840423</v>
      </c>
      <c r="G500" s="1265">
        <f t="shared" si="27"/>
        <v>493298.90823307983</v>
      </c>
      <c r="H500" s="1268">
        <f t="shared" si="28"/>
        <v>493298.90823307983</v>
      </c>
      <c r="I500" s="727">
        <f t="shared" si="25"/>
        <v>0</v>
      </c>
      <c r="J500" s="727"/>
      <c r="K500" s="877"/>
      <c r="L500" s="733"/>
      <c r="M500" s="877"/>
      <c r="N500" s="733"/>
      <c r="O500" s="733"/>
    </row>
    <row r="501" spans="2:15">
      <c r="B501" s="332"/>
      <c r="C501" s="723">
        <f>IF(D453="","-",+C500+1)</f>
        <v>2057</v>
      </c>
      <c r="D501" s="674">
        <f t="shared" si="26"/>
        <v>1455982.1068840423</v>
      </c>
      <c r="E501" s="730">
        <f t="shared" si="29"/>
        <v>329656.32608695654</v>
      </c>
      <c r="F501" s="674">
        <f t="shared" si="24"/>
        <v>1126325.7807970857</v>
      </c>
      <c r="G501" s="1265">
        <f t="shared" si="27"/>
        <v>460015.67118641036</v>
      </c>
      <c r="H501" s="1268">
        <f t="shared" si="28"/>
        <v>460015.67118641036</v>
      </c>
      <c r="I501" s="727">
        <f t="shared" si="25"/>
        <v>0</v>
      </c>
      <c r="J501" s="727"/>
      <c r="K501" s="877"/>
      <c r="L501" s="733"/>
      <c r="M501" s="877"/>
      <c r="N501" s="733"/>
      <c r="O501" s="733"/>
    </row>
    <row r="502" spans="2:15">
      <c r="B502" s="332"/>
      <c r="C502" s="723">
        <f>IF(D453="","-",+C501+1)</f>
        <v>2058</v>
      </c>
      <c r="D502" s="674">
        <f t="shared" si="26"/>
        <v>1126325.7807970857</v>
      </c>
      <c r="E502" s="730">
        <f t="shared" si="29"/>
        <v>329656.32608695654</v>
      </c>
      <c r="F502" s="674">
        <f t="shared" si="24"/>
        <v>796669.45471012918</v>
      </c>
      <c r="G502" s="1265">
        <f t="shared" si="27"/>
        <v>426732.43413974089</v>
      </c>
      <c r="H502" s="1268">
        <f t="shared" si="28"/>
        <v>426732.43413974089</v>
      </c>
      <c r="I502" s="727">
        <f t="shared" si="25"/>
        <v>0</v>
      </c>
      <c r="J502" s="727"/>
      <c r="K502" s="877"/>
      <c r="L502" s="733"/>
      <c r="M502" s="877"/>
      <c r="N502" s="733"/>
      <c r="O502" s="733"/>
    </row>
    <row r="503" spans="2:15">
      <c r="B503" s="332"/>
      <c r="C503" s="723">
        <f>IF(D453="","-",+C502+1)</f>
        <v>2059</v>
      </c>
      <c r="D503" s="674">
        <f t="shared" si="26"/>
        <v>796669.45471012918</v>
      </c>
      <c r="E503" s="730">
        <f t="shared" si="29"/>
        <v>329656.32608695654</v>
      </c>
      <c r="F503" s="674">
        <f t="shared" si="24"/>
        <v>467013.12862317264</v>
      </c>
      <c r="G503" s="1265">
        <f t="shared" si="27"/>
        <v>393449.19709307142</v>
      </c>
      <c r="H503" s="1268">
        <f t="shared" si="28"/>
        <v>393449.19709307142</v>
      </c>
      <c r="I503" s="727">
        <f t="shared" si="25"/>
        <v>0</v>
      </c>
      <c r="J503" s="727"/>
      <c r="K503" s="877"/>
      <c r="L503" s="733"/>
      <c r="M503" s="877"/>
      <c r="N503" s="733"/>
      <c r="O503" s="733"/>
    </row>
    <row r="504" spans="2:15">
      <c r="B504" s="332"/>
      <c r="C504" s="723">
        <f>IF(D453="","-",+C503+1)</f>
        <v>2060</v>
      </c>
      <c r="D504" s="674">
        <f t="shared" si="26"/>
        <v>467013.12862317264</v>
      </c>
      <c r="E504" s="730">
        <f t="shared" si="29"/>
        <v>329656.32608695654</v>
      </c>
      <c r="F504" s="674">
        <f t="shared" si="24"/>
        <v>137356.8025362161</v>
      </c>
      <c r="G504" s="1265">
        <f t="shared" si="27"/>
        <v>360165.96004640195</v>
      </c>
      <c r="H504" s="1268">
        <f t="shared" si="28"/>
        <v>360165.96004640195</v>
      </c>
      <c r="I504" s="727">
        <f t="shared" si="25"/>
        <v>0</v>
      </c>
      <c r="J504" s="727"/>
      <c r="K504" s="877"/>
      <c r="L504" s="733"/>
      <c r="M504" s="877"/>
      <c r="N504" s="733"/>
      <c r="O504" s="733"/>
    </row>
    <row r="505" spans="2:15">
      <c r="B505" s="332"/>
      <c r="C505" s="723">
        <f>IF(D453="","-",+C504+1)</f>
        <v>2061</v>
      </c>
      <c r="D505" s="674">
        <f t="shared" si="26"/>
        <v>137356.8025362161</v>
      </c>
      <c r="E505" s="730">
        <f t="shared" si="29"/>
        <v>137356.8025362161</v>
      </c>
      <c r="F505" s="674">
        <f t="shared" si="24"/>
        <v>0</v>
      </c>
      <c r="G505" s="1265">
        <f t="shared" si="27"/>
        <v>144290.81025427143</v>
      </c>
      <c r="H505" s="1268">
        <f t="shared" si="28"/>
        <v>144290.81025427143</v>
      </c>
      <c r="I505" s="727">
        <f t="shared" si="25"/>
        <v>0</v>
      </c>
      <c r="J505" s="727"/>
      <c r="K505" s="877"/>
      <c r="L505" s="733"/>
      <c r="M505" s="877"/>
      <c r="N505" s="733"/>
      <c r="O505" s="733"/>
    </row>
    <row r="506" spans="2:15">
      <c r="B506" s="332"/>
      <c r="C506" s="723">
        <f>IF(D453="","-",+C505+1)</f>
        <v>2062</v>
      </c>
      <c r="D506" s="674">
        <f t="shared" si="26"/>
        <v>0</v>
      </c>
      <c r="E506" s="730">
        <f t="shared" si="29"/>
        <v>0</v>
      </c>
      <c r="F506" s="674">
        <f t="shared" si="24"/>
        <v>0</v>
      </c>
      <c r="G506" s="1265">
        <f t="shared" si="27"/>
        <v>0</v>
      </c>
      <c r="H506" s="1268">
        <f t="shared" si="28"/>
        <v>0</v>
      </c>
      <c r="I506" s="727">
        <f t="shared" si="25"/>
        <v>0</v>
      </c>
      <c r="J506" s="727"/>
      <c r="K506" s="877"/>
      <c r="L506" s="733"/>
      <c r="M506" s="877"/>
      <c r="N506" s="733"/>
      <c r="O506" s="733"/>
    </row>
    <row r="507" spans="2:15">
      <c r="B507" s="332"/>
      <c r="C507" s="723">
        <f>IF(D453="","-",+C506+1)</f>
        <v>2063</v>
      </c>
      <c r="D507" s="674">
        <f t="shared" si="26"/>
        <v>0</v>
      </c>
      <c r="E507" s="730">
        <f t="shared" si="29"/>
        <v>0</v>
      </c>
      <c r="F507" s="674">
        <f t="shared" si="24"/>
        <v>0</v>
      </c>
      <c r="G507" s="1265">
        <f t="shared" si="27"/>
        <v>0</v>
      </c>
      <c r="H507" s="1268">
        <f t="shared" si="28"/>
        <v>0</v>
      </c>
      <c r="I507" s="727">
        <f t="shared" si="25"/>
        <v>0</v>
      </c>
      <c r="J507" s="727"/>
      <c r="K507" s="877"/>
      <c r="L507" s="733"/>
      <c r="M507" s="877"/>
      <c r="N507" s="733"/>
      <c r="O507" s="733"/>
    </row>
    <row r="508" spans="2:15">
      <c r="B508" s="332"/>
      <c r="C508" s="723">
        <f>IF(D453="","-",+C507+1)</f>
        <v>2064</v>
      </c>
      <c r="D508" s="674">
        <f t="shared" si="26"/>
        <v>0</v>
      </c>
      <c r="E508" s="730">
        <f t="shared" si="29"/>
        <v>0</v>
      </c>
      <c r="F508" s="674">
        <f t="shared" si="24"/>
        <v>0</v>
      </c>
      <c r="G508" s="1265">
        <f t="shared" si="27"/>
        <v>0</v>
      </c>
      <c r="H508" s="1268">
        <f t="shared" si="28"/>
        <v>0</v>
      </c>
      <c r="I508" s="727">
        <f t="shared" si="25"/>
        <v>0</v>
      </c>
      <c r="J508" s="727"/>
      <c r="K508" s="877"/>
      <c r="L508" s="733"/>
      <c r="M508" s="877"/>
      <c r="N508" s="733"/>
      <c r="O508" s="733"/>
    </row>
    <row r="509" spans="2:15">
      <c r="B509" s="332"/>
      <c r="C509" s="723">
        <f>IF(D453="","-",+C508+1)</f>
        <v>2065</v>
      </c>
      <c r="D509" s="674">
        <f t="shared" si="26"/>
        <v>0</v>
      </c>
      <c r="E509" s="730">
        <f t="shared" si="29"/>
        <v>0</v>
      </c>
      <c r="F509" s="674">
        <f t="shared" si="24"/>
        <v>0</v>
      </c>
      <c r="G509" s="1265">
        <f t="shared" si="27"/>
        <v>0</v>
      </c>
      <c r="H509" s="1268">
        <f t="shared" si="28"/>
        <v>0</v>
      </c>
      <c r="I509" s="727">
        <f t="shared" si="25"/>
        <v>0</v>
      </c>
      <c r="J509" s="727"/>
      <c r="K509" s="877"/>
      <c r="L509" s="733"/>
      <c r="M509" s="877"/>
      <c r="N509" s="733"/>
      <c r="O509" s="733"/>
    </row>
    <row r="510" spans="2:15">
      <c r="B510" s="332"/>
      <c r="C510" s="723">
        <f>IF(D453="","-",+C509+1)</f>
        <v>2066</v>
      </c>
      <c r="D510" s="674">
        <f t="shared" si="26"/>
        <v>0</v>
      </c>
      <c r="E510" s="730">
        <f t="shared" si="29"/>
        <v>0</v>
      </c>
      <c r="F510" s="674">
        <f t="shared" si="24"/>
        <v>0</v>
      </c>
      <c r="G510" s="1265">
        <f t="shared" si="27"/>
        <v>0</v>
      </c>
      <c r="H510" s="1268">
        <f t="shared" si="28"/>
        <v>0</v>
      </c>
      <c r="I510" s="727">
        <f t="shared" si="25"/>
        <v>0</v>
      </c>
      <c r="J510" s="727"/>
      <c r="K510" s="877"/>
      <c r="L510" s="733"/>
      <c r="M510" s="877"/>
      <c r="N510" s="733"/>
      <c r="O510" s="733"/>
    </row>
    <row r="511" spans="2:15">
      <c r="B511" s="332"/>
      <c r="C511" s="723">
        <f>IF(D453="","-",+C510+1)</f>
        <v>2067</v>
      </c>
      <c r="D511" s="674">
        <f t="shared" si="26"/>
        <v>0</v>
      </c>
      <c r="E511" s="730">
        <f t="shared" si="29"/>
        <v>0</v>
      </c>
      <c r="F511" s="674">
        <f t="shared" si="24"/>
        <v>0</v>
      </c>
      <c r="G511" s="1265">
        <f t="shared" si="27"/>
        <v>0</v>
      </c>
      <c r="H511" s="1268">
        <f t="shared" si="28"/>
        <v>0</v>
      </c>
      <c r="I511" s="727">
        <f t="shared" si="25"/>
        <v>0</v>
      </c>
      <c r="J511" s="727"/>
      <c r="K511" s="877"/>
      <c r="L511" s="733"/>
      <c r="M511" s="877"/>
      <c r="N511" s="733"/>
      <c r="O511" s="733"/>
    </row>
    <row r="512" spans="2:15">
      <c r="B512" s="332"/>
      <c r="C512" s="723">
        <f>IF(D453="","-",+C511+1)</f>
        <v>2068</v>
      </c>
      <c r="D512" s="674">
        <f t="shared" si="26"/>
        <v>0</v>
      </c>
      <c r="E512" s="730">
        <f t="shared" si="29"/>
        <v>0</v>
      </c>
      <c r="F512" s="674">
        <f t="shared" si="24"/>
        <v>0</v>
      </c>
      <c r="G512" s="1265">
        <f t="shared" si="27"/>
        <v>0</v>
      </c>
      <c r="H512" s="1268">
        <f t="shared" si="28"/>
        <v>0</v>
      </c>
      <c r="I512" s="727">
        <f t="shared" si="25"/>
        <v>0</v>
      </c>
      <c r="J512" s="727"/>
      <c r="K512" s="877"/>
      <c r="L512" s="733"/>
      <c r="M512" s="877"/>
      <c r="N512" s="733"/>
      <c r="O512" s="733"/>
    </row>
    <row r="513" spans="2:15">
      <c r="B513" s="332"/>
      <c r="C513" s="723">
        <f>IF(D453="","-",+C512+1)</f>
        <v>2069</v>
      </c>
      <c r="D513" s="674">
        <f t="shared" si="26"/>
        <v>0</v>
      </c>
      <c r="E513" s="730">
        <f t="shared" si="29"/>
        <v>0</v>
      </c>
      <c r="F513" s="674">
        <f t="shared" si="24"/>
        <v>0</v>
      </c>
      <c r="G513" s="1265">
        <f t="shared" si="27"/>
        <v>0</v>
      </c>
      <c r="H513" s="1268">
        <f t="shared" si="28"/>
        <v>0</v>
      </c>
      <c r="I513" s="727">
        <f t="shared" si="25"/>
        <v>0</v>
      </c>
      <c r="J513" s="727"/>
      <c r="K513" s="877"/>
      <c r="L513" s="733"/>
      <c r="M513" s="877"/>
      <c r="N513" s="733"/>
      <c r="O513" s="733"/>
    </row>
    <row r="514" spans="2:15">
      <c r="B514" s="332"/>
      <c r="C514" s="723">
        <f>IF(D453="","-",+C513+1)</f>
        <v>2070</v>
      </c>
      <c r="D514" s="674">
        <f t="shared" si="26"/>
        <v>0</v>
      </c>
      <c r="E514" s="730">
        <f t="shared" si="29"/>
        <v>0</v>
      </c>
      <c r="F514" s="674">
        <f t="shared" si="24"/>
        <v>0</v>
      </c>
      <c r="G514" s="1265">
        <f t="shared" si="27"/>
        <v>0</v>
      </c>
      <c r="H514" s="1268">
        <f t="shared" si="28"/>
        <v>0</v>
      </c>
      <c r="I514" s="727">
        <f t="shared" si="25"/>
        <v>0</v>
      </c>
      <c r="J514" s="727"/>
      <c r="K514" s="877"/>
      <c r="L514" s="733"/>
      <c r="M514" s="877"/>
      <c r="N514" s="733"/>
      <c r="O514" s="733"/>
    </row>
    <row r="515" spans="2:15">
      <c r="B515" s="332"/>
      <c r="C515" s="723">
        <f>IF(D453="","-",+C514+1)</f>
        <v>2071</v>
      </c>
      <c r="D515" s="674">
        <f t="shared" si="26"/>
        <v>0</v>
      </c>
      <c r="E515" s="730">
        <f t="shared" si="29"/>
        <v>0</v>
      </c>
      <c r="F515" s="674">
        <f t="shared" si="24"/>
        <v>0</v>
      </c>
      <c r="G515" s="1265">
        <f t="shared" si="27"/>
        <v>0</v>
      </c>
      <c r="H515" s="1268">
        <f t="shared" si="28"/>
        <v>0</v>
      </c>
      <c r="I515" s="727">
        <f t="shared" si="25"/>
        <v>0</v>
      </c>
      <c r="J515" s="727"/>
      <c r="K515" s="877"/>
      <c r="L515" s="733"/>
      <c r="M515" s="877"/>
      <c r="N515" s="733"/>
      <c r="O515" s="733"/>
    </row>
    <row r="516" spans="2:15">
      <c r="B516" s="332"/>
      <c r="C516" s="723">
        <f>IF(D453="","-",+C515+1)</f>
        <v>2072</v>
      </c>
      <c r="D516" s="674">
        <f t="shared" si="26"/>
        <v>0</v>
      </c>
      <c r="E516" s="730">
        <f t="shared" si="29"/>
        <v>0</v>
      </c>
      <c r="F516" s="674">
        <f t="shared" si="24"/>
        <v>0</v>
      </c>
      <c r="G516" s="1265">
        <f t="shared" si="27"/>
        <v>0</v>
      </c>
      <c r="H516" s="1268">
        <f t="shared" si="28"/>
        <v>0</v>
      </c>
      <c r="I516" s="727">
        <f t="shared" si="25"/>
        <v>0</v>
      </c>
      <c r="J516" s="727"/>
      <c r="K516" s="877"/>
      <c r="L516" s="733"/>
      <c r="M516" s="877"/>
      <c r="N516" s="733"/>
      <c r="O516" s="733"/>
    </row>
    <row r="517" spans="2:15">
      <c r="B517" s="332"/>
      <c r="C517" s="723">
        <f>IF(D453="","-",+C516+1)</f>
        <v>2073</v>
      </c>
      <c r="D517" s="674">
        <f t="shared" si="26"/>
        <v>0</v>
      </c>
      <c r="E517" s="730">
        <f t="shared" si="29"/>
        <v>0</v>
      </c>
      <c r="F517" s="674">
        <f t="shared" si="24"/>
        <v>0</v>
      </c>
      <c r="G517" s="1265">
        <f t="shared" si="27"/>
        <v>0</v>
      </c>
      <c r="H517" s="1268">
        <f t="shared" si="28"/>
        <v>0</v>
      </c>
      <c r="I517" s="727">
        <f t="shared" si="25"/>
        <v>0</v>
      </c>
      <c r="J517" s="727"/>
      <c r="K517" s="877"/>
      <c r="L517" s="733"/>
      <c r="M517" s="877"/>
      <c r="N517" s="733"/>
      <c r="O517" s="733"/>
    </row>
    <row r="518" spans="2:15" ht="13.5" thickBot="1">
      <c r="B518" s="332"/>
      <c r="C518" s="735">
        <f>IF(D453="","-",+C517+1)</f>
        <v>2074</v>
      </c>
      <c r="D518" s="736">
        <f t="shared" si="26"/>
        <v>0</v>
      </c>
      <c r="E518" s="737">
        <f t="shared" si="29"/>
        <v>0</v>
      </c>
      <c r="F518" s="736">
        <f t="shared" si="24"/>
        <v>0</v>
      </c>
      <c r="G518" s="1275">
        <f t="shared" si="27"/>
        <v>0</v>
      </c>
      <c r="H518" s="1275">
        <f t="shared" si="28"/>
        <v>0</v>
      </c>
      <c r="I518" s="739">
        <f t="shared" si="25"/>
        <v>0</v>
      </c>
      <c r="J518" s="727"/>
      <c r="K518" s="878"/>
      <c r="L518" s="741"/>
      <c r="M518" s="878"/>
      <c r="N518" s="741"/>
      <c r="O518" s="741"/>
    </row>
    <row r="519" spans="2:15">
      <c r="B519" s="332"/>
      <c r="C519" s="674" t="s">
        <v>288</v>
      </c>
      <c r="D519" s="1246"/>
      <c r="E519" s="1246">
        <f>SUM(E459:E518)</f>
        <v>15164191</v>
      </c>
      <c r="F519" s="1246"/>
      <c r="G519" s="1246">
        <f>SUM(G459:G518)</f>
        <v>51015784.505437396</v>
      </c>
      <c r="H519" s="1246">
        <f>SUM(H459:H518)</f>
        <v>51015784.505437396</v>
      </c>
      <c r="I519" s="1246">
        <f>SUM(I459:I518)</f>
        <v>0</v>
      </c>
      <c r="J519" s="1246"/>
      <c r="K519" s="1246"/>
      <c r="L519" s="1246"/>
      <c r="M519" s="1246"/>
      <c r="N519" s="1246"/>
      <c r="O519" s="541"/>
    </row>
    <row r="520" spans="2:15">
      <c r="B520" s="332"/>
      <c r="D520" s="564"/>
      <c r="E520" s="541"/>
      <c r="F520" s="541"/>
      <c r="G520" s="541"/>
      <c r="H520" s="1245"/>
      <c r="I520" s="1245"/>
      <c r="J520" s="1246"/>
      <c r="K520" s="1245"/>
      <c r="L520" s="1245"/>
      <c r="M520" s="1245"/>
      <c r="N520" s="1245"/>
      <c r="O520" s="541"/>
    </row>
    <row r="521" spans="2:15">
      <c r="B521" s="332"/>
      <c r="C521" s="541" t="s">
        <v>601</v>
      </c>
      <c r="D521" s="564"/>
      <c r="E521" s="541"/>
      <c r="F521" s="541"/>
      <c r="G521" s="541"/>
      <c r="H521" s="1245"/>
      <c r="I521" s="1245"/>
      <c r="J521" s="1246"/>
      <c r="K521" s="1245"/>
      <c r="L521" s="1245"/>
      <c r="M521" s="1245"/>
      <c r="N521" s="1245"/>
      <c r="O521" s="541"/>
    </row>
    <row r="522" spans="2:15">
      <c r="B522" s="332"/>
      <c r="D522" s="564"/>
      <c r="E522" s="541"/>
      <c r="F522" s="541"/>
      <c r="G522" s="541"/>
      <c r="H522" s="1245"/>
      <c r="I522" s="1245"/>
      <c r="J522" s="1246"/>
      <c r="K522" s="1245"/>
      <c r="L522" s="1245"/>
      <c r="M522" s="1245"/>
      <c r="N522" s="1245"/>
      <c r="O522" s="541"/>
    </row>
    <row r="523" spans="2:15">
      <c r="B523" s="332"/>
      <c r="C523" s="577" t="s">
        <v>602</v>
      </c>
      <c r="D523" s="674"/>
      <c r="E523" s="674"/>
      <c r="F523" s="674"/>
      <c r="G523" s="1246"/>
      <c r="H523" s="1246"/>
      <c r="I523" s="675"/>
      <c r="J523" s="675"/>
      <c r="K523" s="675"/>
      <c r="L523" s="675"/>
      <c r="M523" s="675"/>
      <c r="N523" s="675"/>
      <c r="O523" s="541"/>
    </row>
    <row r="524" spans="2:15">
      <c r="B524" s="332"/>
      <c r="C524" s="577" t="s">
        <v>476</v>
      </c>
      <c r="D524" s="674"/>
      <c r="E524" s="674"/>
      <c r="F524" s="674"/>
      <c r="G524" s="1246"/>
      <c r="H524" s="1246"/>
      <c r="I524" s="675"/>
      <c r="J524" s="675"/>
      <c r="K524" s="675"/>
      <c r="L524" s="675"/>
      <c r="M524" s="675"/>
      <c r="N524" s="675"/>
      <c r="O524" s="541"/>
    </row>
    <row r="525" spans="2:15">
      <c r="B525" s="332"/>
      <c r="C525" s="577" t="s">
        <v>289</v>
      </c>
      <c r="D525" s="674"/>
      <c r="E525" s="674"/>
      <c r="F525" s="674"/>
      <c r="G525" s="1246"/>
      <c r="H525" s="1246"/>
      <c r="I525" s="675"/>
      <c r="J525" s="675"/>
      <c r="K525" s="675"/>
      <c r="L525" s="675"/>
      <c r="M525" s="675"/>
      <c r="N525" s="675"/>
      <c r="O525" s="541"/>
    </row>
    <row r="526" spans="2:15">
      <c r="B526" s="332"/>
      <c r="C526" s="673"/>
      <c r="D526" s="674"/>
      <c r="E526" s="674"/>
      <c r="F526" s="674"/>
      <c r="G526" s="1246"/>
      <c r="H526" s="1246"/>
      <c r="I526" s="675"/>
      <c r="J526" s="675"/>
      <c r="K526" s="675"/>
      <c r="L526" s="675"/>
      <c r="M526" s="675"/>
      <c r="N526" s="675"/>
      <c r="O526" s="541"/>
    </row>
    <row r="527" spans="2:15">
      <c r="B527" s="332"/>
      <c r="C527" s="1543" t="s">
        <v>460</v>
      </c>
      <c r="D527" s="1543"/>
      <c r="E527" s="1543"/>
      <c r="F527" s="1543"/>
      <c r="G527" s="1543"/>
      <c r="H527" s="1543"/>
      <c r="I527" s="1543"/>
      <c r="J527" s="1543"/>
      <c r="K527" s="1543"/>
      <c r="L527" s="1543"/>
      <c r="M527" s="1543"/>
      <c r="N527" s="1543"/>
      <c r="O527" s="1543"/>
    </row>
    <row r="528" spans="2:15">
      <c r="B528" s="332"/>
      <c r="C528" s="1543"/>
      <c r="D528" s="1543"/>
      <c r="E528" s="1543"/>
      <c r="F528" s="1543"/>
      <c r="G528" s="1543"/>
      <c r="H528" s="1543"/>
      <c r="I528" s="1543"/>
      <c r="J528" s="1543"/>
      <c r="K528" s="1543"/>
      <c r="L528" s="1543"/>
      <c r="M528" s="1543"/>
      <c r="N528" s="1543"/>
      <c r="O528" s="1543"/>
    </row>
    <row r="529" spans="1:16" ht="20.25">
      <c r="A529" s="676" t="s">
        <v>972</v>
      </c>
      <c r="B529" s="541"/>
      <c r="C529" s="656"/>
      <c r="D529" s="564"/>
      <c r="E529" s="541"/>
      <c r="F529" s="646"/>
      <c r="G529" s="541"/>
      <c r="H529" s="1245"/>
      <c r="K529" s="677"/>
      <c r="L529" s="677"/>
      <c r="M529" s="677"/>
      <c r="N529" s="592" t="str">
        <f>"Page "&amp;SUM(P$6:P529)&amp;" of "</f>
        <v xml:space="preserve">Page 7 of </v>
      </c>
      <c r="O529" s="593">
        <f>COUNT(P$6:P$59606)</f>
        <v>14</v>
      </c>
      <c r="P529" s="541">
        <v>1</v>
      </c>
    </row>
    <row r="530" spans="1:16">
      <c r="B530" s="541"/>
      <c r="C530" s="541"/>
      <c r="D530" s="564"/>
      <c r="E530" s="541"/>
      <c r="F530" s="541"/>
      <c r="G530" s="541"/>
      <c r="H530" s="1245"/>
      <c r="I530" s="541"/>
      <c r="J530" s="589"/>
      <c r="K530" s="541"/>
      <c r="L530" s="541"/>
      <c r="M530" s="541"/>
      <c r="N530" s="541"/>
      <c r="O530" s="541"/>
    </row>
    <row r="531" spans="1:16" ht="18">
      <c r="B531" s="596" t="s">
        <v>174</v>
      </c>
      <c r="C531" s="678" t="s">
        <v>290</v>
      </c>
      <c r="D531" s="564"/>
      <c r="E531" s="541"/>
      <c r="F531" s="541"/>
      <c r="G531" s="541"/>
      <c r="H531" s="1245"/>
      <c r="I531" s="1245"/>
      <c r="J531" s="1246"/>
      <c r="K531" s="1245"/>
      <c r="L531" s="1245"/>
      <c r="M531" s="1245"/>
      <c r="N531" s="1245"/>
      <c r="O531" s="541"/>
    </row>
    <row r="532" spans="1:16" ht="18.75">
      <c r="B532" s="596"/>
      <c r="C532" s="595"/>
      <c r="D532" s="564"/>
      <c r="E532" s="541"/>
      <c r="F532" s="541"/>
      <c r="G532" s="541"/>
      <c r="H532" s="1245"/>
      <c r="I532" s="1245"/>
      <c r="J532" s="1246"/>
      <c r="K532" s="1245"/>
      <c r="L532" s="1245"/>
      <c r="M532" s="1245"/>
      <c r="N532" s="1245"/>
      <c r="O532" s="541"/>
    </row>
    <row r="533" spans="1:16" ht="18.75">
      <c r="B533" s="596"/>
      <c r="C533" s="595" t="s">
        <v>291</v>
      </c>
      <c r="D533" s="564"/>
      <c r="E533" s="541"/>
      <c r="F533" s="541"/>
      <c r="G533" s="541"/>
      <c r="H533" s="1245"/>
      <c r="I533" s="1245"/>
      <c r="J533" s="1246"/>
      <c r="K533" s="1245"/>
      <c r="L533" s="1245"/>
      <c r="M533" s="1245"/>
      <c r="N533" s="1245"/>
      <c r="O533" s="541"/>
    </row>
    <row r="534" spans="1:16" ht="15.75" thickBot="1">
      <c r="B534" s="332"/>
      <c r="C534" s="398"/>
      <c r="D534" s="564"/>
      <c r="E534" s="541"/>
      <c r="F534" s="541"/>
      <c r="G534" s="541"/>
      <c r="H534" s="1245"/>
      <c r="I534" s="1245"/>
      <c r="J534" s="1246"/>
      <c r="K534" s="1245"/>
      <c r="L534" s="1245"/>
      <c r="M534" s="1245"/>
      <c r="N534" s="1245"/>
      <c r="O534" s="541"/>
    </row>
    <row r="535" spans="1:16" ht="15.75">
      <c r="B535" s="332"/>
      <c r="C535" s="597" t="s">
        <v>292</v>
      </c>
      <c r="D535" s="564"/>
      <c r="E535" s="541"/>
      <c r="F535" s="541"/>
      <c r="G535" s="1247"/>
      <c r="H535" s="541" t="s">
        <v>271</v>
      </c>
      <c r="I535" s="541"/>
      <c r="J535" s="589"/>
      <c r="K535" s="679" t="s">
        <v>296</v>
      </c>
      <c r="L535" s="680"/>
      <c r="M535" s="681"/>
      <c r="N535" s="1248">
        <f>VLOOKUP(I541,C548:O607,5)</f>
        <v>1744236.4873161835</v>
      </c>
      <c r="O535" s="541"/>
    </row>
    <row r="536" spans="1:16" ht="15.75">
      <c r="B536" s="332"/>
      <c r="C536" s="597"/>
      <c r="D536" s="564"/>
      <c r="E536" s="541"/>
      <c r="F536" s="541"/>
      <c r="G536" s="541"/>
      <c r="H536" s="1249"/>
      <c r="I536" s="1249"/>
      <c r="J536" s="1250"/>
      <c r="K536" s="684" t="s">
        <v>297</v>
      </c>
      <c r="L536" s="1251"/>
      <c r="M536" s="589"/>
      <c r="N536" s="1252">
        <f>VLOOKUP(I541,C548:O607,6)</f>
        <v>1744236.4873161835</v>
      </c>
      <c r="O536" s="541"/>
    </row>
    <row r="537" spans="1:16" ht="13.5" thickBot="1">
      <c r="B537" s="332"/>
      <c r="C537" s="685" t="s">
        <v>293</v>
      </c>
      <c r="D537" s="1544" t="s">
        <v>979</v>
      </c>
      <c r="E537" s="1544"/>
      <c r="F537" s="1544"/>
      <c r="G537" s="1544"/>
      <c r="H537" s="1544"/>
      <c r="I537" s="1245"/>
      <c r="J537" s="1246"/>
      <c r="K537" s="1253" t="s">
        <v>450</v>
      </c>
      <c r="L537" s="1254"/>
      <c r="M537" s="1254"/>
      <c r="N537" s="1255">
        <f>+N536-N535</f>
        <v>0</v>
      </c>
      <c r="O537" s="541"/>
    </row>
    <row r="538" spans="1:16">
      <c r="B538" s="332"/>
      <c r="C538" s="687"/>
      <c r="D538" s="688"/>
      <c r="E538" s="672"/>
      <c r="F538" s="672"/>
      <c r="G538" s="689"/>
      <c r="H538" s="1245"/>
      <c r="I538" s="1245"/>
      <c r="J538" s="1246"/>
      <c r="K538" s="1245"/>
      <c r="L538" s="1245"/>
      <c r="M538" s="1245"/>
      <c r="N538" s="1245"/>
      <c r="O538" s="541"/>
    </row>
    <row r="539" spans="1:16" ht="13.5" thickBot="1">
      <c r="B539" s="332"/>
      <c r="C539" s="690"/>
      <c r="D539" s="691"/>
      <c r="E539" s="689"/>
      <c r="F539" s="689"/>
      <c r="G539" s="689"/>
      <c r="H539" s="689"/>
      <c r="I539" s="689"/>
      <c r="J539" s="692"/>
      <c r="K539" s="689"/>
      <c r="L539" s="689"/>
      <c r="M539" s="689"/>
      <c r="N539" s="689"/>
      <c r="O539" s="577"/>
    </row>
    <row r="540" spans="1:16" ht="13.5" thickBot="1">
      <c r="B540" s="332"/>
      <c r="C540" s="694" t="s">
        <v>294</v>
      </c>
      <c r="D540" s="695"/>
      <c r="E540" s="695"/>
      <c r="F540" s="695"/>
      <c r="G540" s="695"/>
      <c r="H540" s="695"/>
      <c r="I540" s="696"/>
      <c r="J540" s="697"/>
      <c r="K540" s="541"/>
      <c r="L540" s="541"/>
      <c r="M540" s="541"/>
      <c r="N540" s="541"/>
      <c r="O540" s="698"/>
    </row>
    <row r="541" spans="1:16" ht="15">
      <c r="C541" s="700" t="s">
        <v>272</v>
      </c>
      <c r="D541" s="1256">
        <v>14629496</v>
      </c>
      <c r="E541" s="656" t="s">
        <v>273</v>
      </c>
      <c r="G541" s="701"/>
      <c r="H541" s="701"/>
      <c r="I541" s="702">
        <v>2018</v>
      </c>
      <c r="J541" s="587"/>
      <c r="K541" s="1542" t="s">
        <v>459</v>
      </c>
      <c r="L541" s="1542"/>
      <c r="M541" s="1542"/>
      <c r="N541" s="1542"/>
      <c r="O541" s="1542"/>
    </row>
    <row r="542" spans="1:16">
      <c r="C542" s="700" t="s">
        <v>275</v>
      </c>
      <c r="D542" s="872">
        <v>2016</v>
      </c>
      <c r="E542" s="700" t="s">
        <v>276</v>
      </c>
      <c r="F542" s="701"/>
      <c r="H542" s="332"/>
      <c r="I542" s="875">
        <f>IF(G535="",0,$F$15)</f>
        <v>0</v>
      </c>
      <c r="J542" s="703"/>
      <c r="K542" s="1246" t="s">
        <v>459</v>
      </c>
    </row>
    <row r="543" spans="1:16">
      <c r="C543" s="700" t="s">
        <v>277</v>
      </c>
      <c r="D543" s="1257">
        <v>11</v>
      </c>
      <c r="E543" s="700" t="s">
        <v>278</v>
      </c>
      <c r="F543" s="701"/>
      <c r="H543" s="332"/>
      <c r="I543" s="704">
        <f>$G$70</f>
        <v>0.1009634410531228</v>
      </c>
      <c r="J543" s="705"/>
      <c r="K543" s="332" t="str">
        <f>"          INPUT PROJECTED ARR (WITH &amp; WITHOUT INCENTIVES) FROM EACH PRIOR YEAR"</f>
        <v xml:space="preserve">          INPUT PROJECTED ARR (WITH &amp; WITHOUT INCENTIVES) FROM EACH PRIOR YEAR</v>
      </c>
    </row>
    <row r="544" spans="1:16">
      <c r="C544" s="700" t="s">
        <v>279</v>
      </c>
      <c r="D544" s="706">
        <f>G$79</f>
        <v>46</v>
      </c>
      <c r="E544" s="700" t="s">
        <v>280</v>
      </c>
      <c r="F544" s="701"/>
      <c r="H544" s="332"/>
      <c r="I544" s="704">
        <f>IF(G535="",I543,$G$67)</f>
        <v>0.1009634410531228</v>
      </c>
      <c r="J544" s="707"/>
      <c r="K544" s="332" t="s">
        <v>357</v>
      </c>
    </row>
    <row r="545" spans="1:15" ht="13.5" thickBot="1">
      <c r="C545" s="700" t="s">
        <v>281</v>
      </c>
      <c r="D545" s="874" t="s">
        <v>974</v>
      </c>
      <c r="E545" s="708" t="s">
        <v>282</v>
      </c>
      <c r="F545" s="709"/>
      <c r="G545" s="710"/>
      <c r="H545" s="710"/>
      <c r="I545" s="1255">
        <f>IF(D541=0,0,D541/D544)</f>
        <v>318032.52173913043</v>
      </c>
      <c r="J545" s="1246"/>
      <c r="K545" s="1246" t="s">
        <v>363</v>
      </c>
      <c r="L545" s="1246"/>
      <c r="M545" s="1246"/>
      <c r="N545" s="1246"/>
      <c r="O545" s="589"/>
    </row>
    <row r="546" spans="1:15" ht="51">
      <c r="A546" s="528"/>
      <c r="B546" s="528"/>
      <c r="C546" s="711" t="s">
        <v>272</v>
      </c>
      <c r="D546" s="1258" t="s">
        <v>283</v>
      </c>
      <c r="E546" s="1259" t="s">
        <v>284</v>
      </c>
      <c r="F546" s="1258" t="s">
        <v>285</v>
      </c>
      <c r="G546" s="1259" t="s">
        <v>356</v>
      </c>
      <c r="H546" s="1260" t="s">
        <v>356</v>
      </c>
      <c r="I546" s="711" t="s">
        <v>295</v>
      </c>
      <c r="J546" s="715"/>
      <c r="K546" s="1259" t="s">
        <v>365</v>
      </c>
      <c r="L546" s="1261"/>
      <c r="M546" s="1259" t="s">
        <v>365</v>
      </c>
      <c r="N546" s="1261"/>
      <c r="O546" s="1261"/>
    </row>
    <row r="547" spans="1:15" ht="13.5" thickBot="1">
      <c r="B547" s="332"/>
      <c r="C547" s="717" t="s">
        <v>177</v>
      </c>
      <c r="D547" s="718" t="s">
        <v>178</v>
      </c>
      <c r="E547" s="717" t="s">
        <v>37</v>
      </c>
      <c r="F547" s="718" t="s">
        <v>178</v>
      </c>
      <c r="G547" s="1262" t="s">
        <v>298</v>
      </c>
      <c r="H547" s="1263" t="s">
        <v>300</v>
      </c>
      <c r="I547" s="721" t="s">
        <v>389</v>
      </c>
      <c r="J547" s="722"/>
      <c r="K547" s="1262" t="s">
        <v>287</v>
      </c>
      <c r="L547" s="1264"/>
      <c r="M547" s="1262" t="s">
        <v>300</v>
      </c>
      <c r="N547" s="1264"/>
      <c r="O547" s="1264"/>
    </row>
    <row r="548" spans="1:15">
      <c r="B548" s="332"/>
      <c r="C548" s="723">
        <f>IF(D542= "","-",D542)</f>
        <v>2016</v>
      </c>
      <c r="D548" s="674">
        <f>+D541</f>
        <v>14629496</v>
      </c>
      <c r="E548" s="1265">
        <f>+I545/12*(12-D543)</f>
        <v>26502.710144927536</v>
      </c>
      <c r="F548" s="674">
        <f t="shared" ref="F548:F607" si="30">+D548-E548</f>
        <v>14602993.289855072</v>
      </c>
      <c r="G548" s="1266">
        <f>+$I$543*((D548+F548)/2)+E548</f>
        <v>1502209.0647710904</v>
      </c>
      <c r="H548" s="1267">
        <f>+$I$544*((D548+F548)/2)+E548</f>
        <v>1502209.0647710904</v>
      </c>
      <c r="I548" s="727">
        <f t="shared" ref="I548:I607" si="31">+H548-G548</f>
        <v>0</v>
      </c>
      <c r="J548" s="727"/>
      <c r="K548" s="1288">
        <v>8871246.9461574946</v>
      </c>
      <c r="L548" s="1286"/>
      <c r="M548" s="1289">
        <v>8871246.9461574946</v>
      </c>
      <c r="N548" s="729"/>
      <c r="O548" s="729"/>
    </row>
    <row r="549" spans="1:15">
      <c r="B549" s="332"/>
      <c r="C549" s="723">
        <f>IF(D542="","-",+C548+1)</f>
        <v>2017</v>
      </c>
      <c r="D549" s="1270">
        <f t="shared" ref="D549:D607" si="32">F548</f>
        <v>14602993.289855072</v>
      </c>
      <c r="E549" s="1271">
        <f>IF(D549&gt;$I$545,$I$545,D549)</f>
        <v>318032.52173913043</v>
      </c>
      <c r="F549" s="1270">
        <f t="shared" si="30"/>
        <v>14284960.768115941</v>
      </c>
      <c r="G549" s="1272">
        <f t="shared" ref="G549:G607" si="33">+$I$543*((D549+F549)/2)+E549</f>
        <v>1776346.1450777685</v>
      </c>
      <c r="H549" s="1273">
        <f t="shared" ref="H549:H607" si="34">+$I$544*((D549+F549)/2)+E549</f>
        <v>1776346.1450777685</v>
      </c>
      <c r="I549" s="1279">
        <f t="shared" si="31"/>
        <v>0</v>
      </c>
      <c r="J549" s="727"/>
      <c r="K549" s="877">
        <v>8889734.7657841165</v>
      </c>
      <c r="L549" s="733"/>
      <c r="M549" s="877">
        <v>8889734.7657841165</v>
      </c>
      <c r="N549" s="733"/>
      <c r="O549" s="733"/>
    </row>
    <row r="550" spans="1:15">
      <c r="B550" s="332"/>
      <c r="C550" s="1269">
        <f>IF(D542="","-",+C549+1)</f>
        <v>2018</v>
      </c>
      <c r="D550" s="1270">
        <f t="shared" si="32"/>
        <v>14284960.768115941</v>
      </c>
      <c r="E550" s="1271">
        <f t="shared" ref="E550:E607" si="35">IF(D550&gt;$I$545,$I$545,D550)</f>
        <v>318032.52173913043</v>
      </c>
      <c r="F550" s="1270">
        <f t="shared" si="30"/>
        <v>13966928.246376811</v>
      </c>
      <c r="G550" s="1272">
        <f t="shared" si="33"/>
        <v>1744236.4873161835</v>
      </c>
      <c r="H550" s="1273">
        <f t="shared" si="34"/>
        <v>1744236.4873161835</v>
      </c>
      <c r="I550" s="1279">
        <f t="shared" si="31"/>
        <v>0</v>
      </c>
      <c r="J550" s="727"/>
      <c r="K550" s="1290"/>
      <c r="L550" s="1278"/>
      <c r="M550" s="1290"/>
      <c r="N550" s="733"/>
      <c r="O550" s="733"/>
    </row>
    <row r="551" spans="1:15">
      <c r="B551" s="332"/>
      <c r="C551" s="723">
        <f>IF(D542="","-",+C550+1)</f>
        <v>2019</v>
      </c>
      <c r="D551" s="674">
        <f t="shared" si="32"/>
        <v>13966928.246376811</v>
      </c>
      <c r="E551" s="730">
        <f t="shared" si="35"/>
        <v>318032.52173913043</v>
      </c>
      <c r="F551" s="674">
        <f t="shared" si="30"/>
        <v>13648895.72463768</v>
      </c>
      <c r="G551" s="1265">
        <f t="shared" si="33"/>
        <v>1712126.829554599</v>
      </c>
      <c r="H551" s="1268">
        <f t="shared" si="34"/>
        <v>1712126.829554599</v>
      </c>
      <c r="I551" s="727">
        <f t="shared" si="31"/>
        <v>0</v>
      </c>
      <c r="J551" s="727"/>
      <c r="K551" s="877"/>
      <c r="L551" s="733"/>
      <c r="M551" s="877"/>
      <c r="N551" s="733"/>
      <c r="O551" s="733"/>
    </row>
    <row r="552" spans="1:15">
      <c r="B552" s="332"/>
      <c r="C552" s="723">
        <f>IF(D542="","-",+C551+1)</f>
        <v>2020</v>
      </c>
      <c r="D552" s="674">
        <f t="shared" si="32"/>
        <v>13648895.72463768</v>
      </c>
      <c r="E552" s="730">
        <f t="shared" si="35"/>
        <v>318032.52173913043</v>
      </c>
      <c r="F552" s="674">
        <f t="shared" si="30"/>
        <v>13330863.202898549</v>
      </c>
      <c r="G552" s="1265">
        <f t="shared" si="33"/>
        <v>1680017.171793014</v>
      </c>
      <c r="H552" s="1268">
        <f t="shared" si="34"/>
        <v>1680017.171793014</v>
      </c>
      <c r="I552" s="727">
        <f t="shared" si="31"/>
        <v>0</v>
      </c>
      <c r="J552" s="727"/>
      <c r="K552" s="877"/>
      <c r="L552" s="733"/>
      <c r="M552" s="877"/>
      <c r="N552" s="733"/>
      <c r="O552" s="733"/>
    </row>
    <row r="553" spans="1:15">
      <c r="B553" s="332"/>
      <c r="C553" s="723">
        <f>IF(D542="","-",+C552+1)</f>
        <v>2021</v>
      </c>
      <c r="D553" s="674">
        <f t="shared" si="32"/>
        <v>13330863.202898549</v>
      </c>
      <c r="E553" s="730">
        <f t="shared" si="35"/>
        <v>318032.52173913043</v>
      </c>
      <c r="F553" s="674">
        <f t="shared" si="30"/>
        <v>13012830.681159418</v>
      </c>
      <c r="G553" s="1265">
        <f t="shared" si="33"/>
        <v>1647907.5140314295</v>
      </c>
      <c r="H553" s="1268">
        <f t="shared" si="34"/>
        <v>1647907.5140314295</v>
      </c>
      <c r="I553" s="727">
        <f t="shared" si="31"/>
        <v>0</v>
      </c>
      <c r="J553" s="727"/>
      <c r="K553" s="877"/>
      <c r="L553" s="733"/>
      <c r="M553" s="877"/>
      <c r="N553" s="733"/>
      <c r="O553" s="733"/>
    </row>
    <row r="554" spans="1:15">
      <c r="B554" s="332"/>
      <c r="C554" s="723">
        <f>IF(D542="","-",+C553+1)</f>
        <v>2022</v>
      </c>
      <c r="D554" s="674">
        <f t="shared" si="32"/>
        <v>13012830.681159418</v>
      </c>
      <c r="E554" s="730">
        <f t="shared" si="35"/>
        <v>318032.52173913043</v>
      </c>
      <c r="F554" s="674">
        <f t="shared" si="30"/>
        <v>12694798.159420287</v>
      </c>
      <c r="G554" s="1265">
        <f t="shared" si="33"/>
        <v>1615797.8562698446</v>
      </c>
      <c r="H554" s="1268">
        <f t="shared" si="34"/>
        <v>1615797.8562698446</v>
      </c>
      <c r="I554" s="727">
        <f t="shared" si="31"/>
        <v>0</v>
      </c>
      <c r="J554" s="727"/>
      <c r="K554" s="877"/>
      <c r="L554" s="733"/>
      <c r="M554" s="877"/>
      <c r="N554" s="733"/>
      <c r="O554" s="733"/>
    </row>
    <row r="555" spans="1:15">
      <c r="B555" s="332"/>
      <c r="C555" s="723">
        <f>IF(D542="","-",+C554+1)</f>
        <v>2023</v>
      </c>
      <c r="D555" s="674">
        <f t="shared" si="32"/>
        <v>12694798.159420287</v>
      </c>
      <c r="E555" s="730">
        <f t="shared" si="35"/>
        <v>318032.52173913043</v>
      </c>
      <c r="F555" s="674">
        <f t="shared" si="30"/>
        <v>12376765.637681156</v>
      </c>
      <c r="G555" s="1265">
        <f t="shared" si="33"/>
        <v>1583688.1985082601</v>
      </c>
      <c r="H555" s="1268">
        <f t="shared" si="34"/>
        <v>1583688.1985082601</v>
      </c>
      <c r="I555" s="727">
        <f t="shared" si="31"/>
        <v>0</v>
      </c>
      <c r="J555" s="727"/>
      <c r="K555" s="877"/>
      <c r="L555" s="733"/>
      <c r="M555" s="877"/>
      <c r="N555" s="733"/>
      <c r="O555" s="733"/>
    </row>
    <row r="556" spans="1:15">
      <c r="B556" s="332"/>
      <c r="C556" s="723">
        <f>IF(D542="","-",+C555+1)</f>
        <v>2024</v>
      </c>
      <c r="D556" s="674">
        <f t="shared" si="32"/>
        <v>12376765.637681156</v>
      </c>
      <c r="E556" s="730">
        <f t="shared" si="35"/>
        <v>318032.52173913043</v>
      </c>
      <c r="F556" s="674">
        <f t="shared" si="30"/>
        <v>12058733.115942026</v>
      </c>
      <c r="G556" s="1265">
        <f t="shared" si="33"/>
        <v>1551578.5407466751</v>
      </c>
      <c r="H556" s="1268">
        <f t="shared" si="34"/>
        <v>1551578.5407466751</v>
      </c>
      <c r="I556" s="727">
        <f t="shared" si="31"/>
        <v>0</v>
      </c>
      <c r="J556" s="727"/>
      <c r="K556" s="877"/>
      <c r="L556" s="733"/>
      <c r="M556" s="877"/>
      <c r="N556" s="733"/>
      <c r="O556" s="733"/>
    </row>
    <row r="557" spans="1:15">
      <c r="B557" s="332"/>
      <c r="C557" s="723">
        <f>IF(D542="","-",+C556+1)</f>
        <v>2025</v>
      </c>
      <c r="D557" s="674">
        <f t="shared" si="32"/>
        <v>12058733.115942026</v>
      </c>
      <c r="E557" s="730">
        <f t="shared" si="35"/>
        <v>318032.52173913043</v>
      </c>
      <c r="F557" s="674">
        <f t="shared" si="30"/>
        <v>11740700.594202895</v>
      </c>
      <c r="G557" s="1265">
        <f t="shared" si="33"/>
        <v>1519468.8829850906</v>
      </c>
      <c r="H557" s="1268">
        <f t="shared" si="34"/>
        <v>1519468.8829850906</v>
      </c>
      <c r="I557" s="727">
        <f t="shared" si="31"/>
        <v>0</v>
      </c>
      <c r="J557" s="727"/>
      <c r="K557" s="877"/>
      <c r="L557" s="733"/>
      <c r="M557" s="877"/>
      <c r="N557" s="733"/>
      <c r="O557" s="733"/>
    </row>
    <row r="558" spans="1:15">
      <c r="B558" s="332"/>
      <c r="C558" s="723">
        <f>IF(D542="","-",+C557+1)</f>
        <v>2026</v>
      </c>
      <c r="D558" s="674">
        <f t="shared" si="32"/>
        <v>11740700.594202895</v>
      </c>
      <c r="E558" s="730">
        <f t="shared" si="35"/>
        <v>318032.52173913043</v>
      </c>
      <c r="F558" s="674">
        <f t="shared" si="30"/>
        <v>11422668.072463764</v>
      </c>
      <c r="G558" s="1265">
        <f t="shared" si="33"/>
        <v>1487359.2252235056</v>
      </c>
      <c r="H558" s="1268">
        <f t="shared" si="34"/>
        <v>1487359.2252235056</v>
      </c>
      <c r="I558" s="727">
        <f t="shared" si="31"/>
        <v>0</v>
      </c>
      <c r="J558" s="727"/>
      <c r="K558" s="877"/>
      <c r="L558" s="733"/>
      <c r="M558" s="877"/>
      <c r="N558" s="733"/>
      <c r="O558" s="733"/>
    </row>
    <row r="559" spans="1:15">
      <c r="B559" s="332"/>
      <c r="C559" s="723">
        <f>IF(D542="","-",+C558+1)</f>
        <v>2027</v>
      </c>
      <c r="D559" s="674">
        <f t="shared" si="32"/>
        <v>11422668.072463764</v>
      </c>
      <c r="E559" s="730">
        <f t="shared" si="35"/>
        <v>318032.52173913043</v>
      </c>
      <c r="F559" s="674">
        <f t="shared" si="30"/>
        <v>11104635.550724633</v>
      </c>
      <c r="G559" s="1265">
        <f t="shared" si="33"/>
        <v>1455249.5674619211</v>
      </c>
      <c r="H559" s="1268">
        <f t="shared" si="34"/>
        <v>1455249.5674619211</v>
      </c>
      <c r="I559" s="727">
        <f t="shared" si="31"/>
        <v>0</v>
      </c>
      <c r="J559" s="727"/>
      <c r="K559" s="877"/>
      <c r="L559" s="733"/>
      <c r="M559" s="877"/>
      <c r="N559" s="733"/>
      <c r="O559" s="733"/>
    </row>
    <row r="560" spans="1:15">
      <c r="B560" s="332"/>
      <c r="C560" s="723">
        <f>IF(D542="","-",+C559+1)</f>
        <v>2028</v>
      </c>
      <c r="D560" s="674">
        <f t="shared" si="32"/>
        <v>11104635.550724633</v>
      </c>
      <c r="E560" s="730">
        <f t="shared" si="35"/>
        <v>318032.52173913043</v>
      </c>
      <c r="F560" s="674">
        <f t="shared" si="30"/>
        <v>10786603.028985502</v>
      </c>
      <c r="G560" s="1265">
        <f t="shared" si="33"/>
        <v>1423139.9097003362</v>
      </c>
      <c r="H560" s="1268">
        <f t="shared" si="34"/>
        <v>1423139.9097003362</v>
      </c>
      <c r="I560" s="727">
        <f t="shared" si="31"/>
        <v>0</v>
      </c>
      <c r="J560" s="727"/>
      <c r="K560" s="877"/>
      <c r="L560" s="733"/>
      <c r="M560" s="877"/>
      <c r="N560" s="734"/>
      <c r="O560" s="733"/>
    </row>
    <row r="561" spans="2:15">
      <c r="B561" s="332"/>
      <c r="C561" s="723">
        <f>IF(D542="","-",+C560+1)</f>
        <v>2029</v>
      </c>
      <c r="D561" s="674">
        <f t="shared" si="32"/>
        <v>10786603.028985502</v>
      </c>
      <c r="E561" s="730">
        <f t="shared" si="35"/>
        <v>318032.52173913043</v>
      </c>
      <c r="F561" s="674">
        <f t="shared" si="30"/>
        <v>10468570.507246371</v>
      </c>
      <c r="G561" s="1265">
        <f t="shared" si="33"/>
        <v>1391030.2519387517</v>
      </c>
      <c r="H561" s="1268">
        <f t="shared" si="34"/>
        <v>1391030.2519387517</v>
      </c>
      <c r="I561" s="727">
        <f t="shared" si="31"/>
        <v>0</v>
      </c>
      <c r="J561" s="727"/>
      <c r="K561" s="877"/>
      <c r="L561" s="733"/>
      <c r="M561" s="877"/>
      <c r="N561" s="733"/>
      <c r="O561" s="733"/>
    </row>
    <row r="562" spans="2:15">
      <c r="B562" s="332"/>
      <c r="C562" s="723">
        <f>IF(D542="","-",+C561+1)</f>
        <v>2030</v>
      </c>
      <c r="D562" s="674">
        <f t="shared" si="32"/>
        <v>10468570.507246371</v>
      </c>
      <c r="E562" s="730">
        <f t="shared" si="35"/>
        <v>318032.52173913043</v>
      </c>
      <c r="F562" s="674">
        <f t="shared" si="30"/>
        <v>10150537.985507241</v>
      </c>
      <c r="G562" s="1265">
        <f t="shared" si="33"/>
        <v>1358920.5941771669</v>
      </c>
      <c r="H562" s="1268">
        <f t="shared" si="34"/>
        <v>1358920.5941771669</v>
      </c>
      <c r="I562" s="727">
        <f t="shared" si="31"/>
        <v>0</v>
      </c>
      <c r="J562" s="727"/>
      <c r="K562" s="877"/>
      <c r="L562" s="733"/>
      <c r="M562" s="877"/>
      <c r="N562" s="733"/>
      <c r="O562" s="733"/>
    </row>
    <row r="563" spans="2:15">
      <c r="B563" s="332"/>
      <c r="C563" s="723">
        <f>IF(D542="","-",+C562+1)</f>
        <v>2031</v>
      </c>
      <c r="D563" s="674">
        <f t="shared" si="32"/>
        <v>10150537.985507241</v>
      </c>
      <c r="E563" s="730">
        <f t="shared" si="35"/>
        <v>318032.52173913043</v>
      </c>
      <c r="F563" s="674">
        <f t="shared" si="30"/>
        <v>9832505.4637681097</v>
      </c>
      <c r="G563" s="1265">
        <f t="shared" si="33"/>
        <v>1326810.9364155822</v>
      </c>
      <c r="H563" s="1268">
        <f t="shared" si="34"/>
        <v>1326810.9364155822</v>
      </c>
      <c r="I563" s="727">
        <f t="shared" si="31"/>
        <v>0</v>
      </c>
      <c r="J563" s="727"/>
      <c r="K563" s="877"/>
      <c r="L563" s="733"/>
      <c r="M563" s="877"/>
      <c r="N563" s="733"/>
      <c r="O563" s="733"/>
    </row>
    <row r="564" spans="2:15">
      <c r="B564" s="332"/>
      <c r="C564" s="723">
        <f>IF(D542="","-",+C563+1)</f>
        <v>2032</v>
      </c>
      <c r="D564" s="674">
        <f t="shared" si="32"/>
        <v>9832505.4637681097</v>
      </c>
      <c r="E564" s="730">
        <f t="shared" si="35"/>
        <v>318032.52173913043</v>
      </c>
      <c r="F564" s="674">
        <f t="shared" si="30"/>
        <v>9514472.9420289788</v>
      </c>
      <c r="G564" s="1265">
        <f t="shared" si="33"/>
        <v>1294701.2786539975</v>
      </c>
      <c r="H564" s="1268">
        <f t="shared" si="34"/>
        <v>1294701.2786539975</v>
      </c>
      <c r="I564" s="727">
        <f t="shared" si="31"/>
        <v>0</v>
      </c>
      <c r="J564" s="727"/>
      <c r="K564" s="877"/>
      <c r="L564" s="733"/>
      <c r="M564" s="877"/>
      <c r="N564" s="733"/>
      <c r="O564" s="733"/>
    </row>
    <row r="565" spans="2:15">
      <c r="B565" s="332"/>
      <c r="C565" s="723">
        <f>IF(D542="","-",+C564+1)</f>
        <v>2033</v>
      </c>
      <c r="D565" s="674">
        <f t="shared" si="32"/>
        <v>9514472.9420289788</v>
      </c>
      <c r="E565" s="730">
        <f t="shared" si="35"/>
        <v>318032.52173913043</v>
      </c>
      <c r="F565" s="674">
        <f t="shared" si="30"/>
        <v>9196440.420289848</v>
      </c>
      <c r="G565" s="1265">
        <f t="shared" si="33"/>
        <v>1262591.6208924127</v>
      </c>
      <c r="H565" s="1268">
        <f t="shared" si="34"/>
        <v>1262591.6208924127</v>
      </c>
      <c r="I565" s="727">
        <f t="shared" si="31"/>
        <v>0</v>
      </c>
      <c r="J565" s="727"/>
      <c r="K565" s="877"/>
      <c r="L565" s="733"/>
      <c r="M565" s="877"/>
      <c r="N565" s="733"/>
      <c r="O565" s="733"/>
    </row>
    <row r="566" spans="2:15">
      <c r="B566" s="332"/>
      <c r="C566" s="723">
        <f>IF(D542="","-",+C565+1)</f>
        <v>2034</v>
      </c>
      <c r="D566" s="674">
        <f t="shared" si="32"/>
        <v>9196440.420289848</v>
      </c>
      <c r="E566" s="730">
        <f t="shared" si="35"/>
        <v>318032.52173913043</v>
      </c>
      <c r="F566" s="674">
        <f t="shared" si="30"/>
        <v>8878407.8985507172</v>
      </c>
      <c r="G566" s="1265">
        <f t="shared" si="33"/>
        <v>1230481.963130828</v>
      </c>
      <c r="H566" s="1268">
        <f t="shared" si="34"/>
        <v>1230481.963130828</v>
      </c>
      <c r="I566" s="727">
        <f t="shared" si="31"/>
        <v>0</v>
      </c>
      <c r="J566" s="727"/>
      <c r="K566" s="877"/>
      <c r="L566" s="733"/>
      <c r="M566" s="877"/>
      <c r="N566" s="733"/>
      <c r="O566" s="733"/>
    </row>
    <row r="567" spans="2:15">
      <c r="B567" s="332"/>
      <c r="C567" s="723">
        <f>IF(D542="","-",+C566+1)</f>
        <v>2035</v>
      </c>
      <c r="D567" s="674">
        <f t="shared" si="32"/>
        <v>8878407.8985507172</v>
      </c>
      <c r="E567" s="730">
        <f t="shared" si="35"/>
        <v>318032.52173913043</v>
      </c>
      <c r="F567" s="674">
        <f t="shared" si="30"/>
        <v>8560375.3768115863</v>
      </c>
      <c r="G567" s="1265">
        <f t="shared" si="33"/>
        <v>1198372.3053692433</v>
      </c>
      <c r="H567" s="1268">
        <f t="shared" si="34"/>
        <v>1198372.3053692433</v>
      </c>
      <c r="I567" s="727">
        <f t="shared" si="31"/>
        <v>0</v>
      </c>
      <c r="J567" s="727"/>
      <c r="K567" s="877"/>
      <c r="L567" s="733"/>
      <c r="M567" s="877"/>
      <c r="N567" s="733"/>
      <c r="O567" s="733"/>
    </row>
    <row r="568" spans="2:15">
      <c r="B568" s="332"/>
      <c r="C568" s="723">
        <f>IF(D542="","-",+C567+1)</f>
        <v>2036</v>
      </c>
      <c r="D568" s="674">
        <f t="shared" si="32"/>
        <v>8560375.3768115863</v>
      </c>
      <c r="E568" s="730">
        <f t="shared" si="35"/>
        <v>318032.52173913043</v>
      </c>
      <c r="F568" s="674">
        <f t="shared" si="30"/>
        <v>8242342.8550724555</v>
      </c>
      <c r="G568" s="1265">
        <f t="shared" si="33"/>
        <v>1166262.6476076585</v>
      </c>
      <c r="H568" s="1268">
        <f t="shared" si="34"/>
        <v>1166262.6476076585</v>
      </c>
      <c r="I568" s="727">
        <f t="shared" si="31"/>
        <v>0</v>
      </c>
      <c r="J568" s="727"/>
      <c r="K568" s="877"/>
      <c r="L568" s="733"/>
      <c r="M568" s="877"/>
      <c r="N568" s="733"/>
      <c r="O568" s="733"/>
    </row>
    <row r="569" spans="2:15">
      <c r="B569" s="332"/>
      <c r="C569" s="723">
        <f>IF(D542="","-",+C568+1)</f>
        <v>2037</v>
      </c>
      <c r="D569" s="674">
        <f t="shared" si="32"/>
        <v>8242342.8550724555</v>
      </c>
      <c r="E569" s="730">
        <f t="shared" si="35"/>
        <v>318032.52173913043</v>
      </c>
      <c r="F569" s="674">
        <f t="shared" si="30"/>
        <v>7924310.3333333246</v>
      </c>
      <c r="G569" s="1265">
        <f t="shared" si="33"/>
        <v>1134152.9898460738</v>
      </c>
      <c r="H569" s="1268">
        <f t="shared" si="34"/>
        <v>1134152.9898460738</v>
      </c>
      <c r="I569" s="727">
        <f t="shared" si="31"/>
        <v>0</v>
      </c>
      <c r="J569" s="727"/>
      <c r="K569" s="877"/>
      <c r="L569" s="733"/>
      <c r="M569" s="877"/>
      <c r="N569" s="733"/>
      <c r="O569" s="733"/>
    </row>
    <row r="570" spans="2:15">
      <c r="B570" s="332"/>
      <c r="C570" s="723">
        <f>IF(D542="","-",+C569+1)</f>
        <v>2038</v>
      </c>
      <c r="D570" s="674">
        <f t="shared" si="32"/>
        <v>7924310.3333333246</v>
      </c>
      <c r="E570" s="730">
        <f t="shared" si="35"/>
        <v>318032.52173913043</v>
      </c>
      <c r="F570" s="674">
        <f t="shared" si="30"/>
        <v>7606277.8115941938</v>
      </c>
      <c r="G570" s="1265">
        <f t="shared" si="33"/>
        <v>1102043.3320844891</v>
      </c>
      <c r="H570" s="1268">
        <f t="shared" si="34"/>
        <v>1102043.3320844891</v>
      </c>
      <c r="I570" s="727">
        <f t="shared" si="31"/>
        <v>0</v>
      </c>
      <c r="J570" s="727"/>
      <c r="K570" s="877"/>
      <c r="L570" s="733"/>
      <c r="M570" s="877"/>
      <c r="N570" s="733"/>
      <c r="O570" s="733"/>
    </row>
    <row r="571" spans="2:15">
      <c r="B571" s="332"/>
      <c r="C571" s="723">
        <f>IF(D542="","-",+C570+1)</f>
        <v>2039</v>
      </c>
      <c r="D571" s="674">
        <f t="shared" si="32"/>
        <v>7606277.8115941938</v>
      </c>
      <c r="E571" s="730">
        <f t="shared" si="35"/>
        <v>318032.52173913043</v>
      </c>
      <c r="F571" s="674">
        <f t="shared" si="30"/>
        <v>7288245.289855063</v>
      </c>
      <c r="G571" s="1265">
        <f t="shared" si="33"/>
        <v>1069933.6743229043</v>
      </c>
      <c r="H571" s="1268">
        <f t="shared" si="34"/>
        <v>1069933.6743229043</v>
      </c>
      <c r="I571" s="727">
        <f t="shared" si="31"/>
        <v>0</v>
      </c>
      <c r="J571" s="727"/>
      <c r="K571" s="877"/>
      <c r="L571" s="733"/>
      <c r="M571" s="877"/>
      <c r="N571" s="733"/>
      <c r="O571" s="733"/>
    </row>
    <row r="572" spans="2:15">
      <c r="B572" s="332"/>
      <c r="C572" s="723">
        <f>IF(D542="","-",+C571+1)</f>
        <v>2040</v>
      </c>
      <c r="D572" s="674">
        <f t="shared" si="32"/>
        <v>7288245.289855063</v>
      </c>
      <c r="E572" s="730">
        <f t="shared" si="35"/>
        <v>318032.52173913043</v>
      </c>
      <c r="F572" s="674">
        <f t="shared" si="30"/>
        <v>6970212.7681159321</v>
      </c>
      <c r="G572" s="1265">
        <f t="shared" si="33"/>
        <v>1037824.0165613196</v>
      </c>
      <c r="H572" s="1268">
        <f t="shared" si="34"/>
        <v>1037824.0165613196</v>
      </c>
      <c r="I572" s="727">
        <f t="shared" si="31"/>
        <v>0</v>
      </c>
      <c r="J572" s="727"/>
      <c r="K572" s="877"/>
      <c r="L572" s="733"/>
      <c r="M572" s="877"/>
      <c r="N572" s="733"/>
      <c r="O572" s="733"/>
    </row>
    <row r="573" spans="2:15">
      <c r="B573" s="332"/>
      <c r="C573" s="723">
        <f>IF(D542="","-",+C572+1)</f>
        <v>2041</v>
      </c>
      <c r="D573" s="674">
        <f t="shared" si="32"/>
        <v>6970212.7681159321</v>
      </c>
      <c r="E573" s="730">
        <f t="shared" si="35"/>
        <v>318032.52173913043</v>
      </c>
      <c r="F573" s="674">
        <f t="shared" si="30"/>
        <v>6652180.2463768013</v>
      </c>
      <c r="G573" s="1265">
        <f t="shared" si="33"/>
        <v>1005714.3587997349</v>
      </c>
      <c r="H573" s="1268">
        <f t="shared" si="34"/>
        <v>1005714.3587997349</v>
      </c>
      <c r="I573" s="727">
        <f t="shared" si="31"/>
        <v>0</v>
      </c>
      <c r="J573" s="727"/>
      <c r="K573" s="877"/>
      <c r="L573" s="733"/>
      <c r="M573" s="877"/>
      <c r="N573" s="733"/>
      <c r="O573" s="733"/>
    </row>
    <row r="574" spans="2:15">
      <c r="B574" s="332"/>
      <c r="C574" s="723">
        <f>IF(D542="","-",+C573+1)</f>
        <v>2042</v>
      </c>
      <c r="D574" s="674">
        <f t="shared" si="32"/>
        <v>6652180.2463768013</v>
      </c>
      <c r="E574" s="730">
        <f t="shared" si="35"/>
        <v>318032.52173913043</v>
      </c>
      <c r="F574" s="674">
        <f t="shared" si="30"/>
        <v>6334147.7246376704</v>
      </c>
      <c r="G574" s="1265">
        <f t="shared" si="33"/>
        <v>973604.70103815012</v>
      </c>
      <c r="H574" s="1268">
        <f t="shared" si="34"/>
        <v>973604.70103815012</v>
      </c>
      <c r="I574" s="727">
        <f t="shared" si="31"/>
        <v>0</v>
      </c>
      <c r="J574" s="727"/>
      <c r="K574" s="877"/>
      <c r="L574" s="733"/>
      <c r="M574" s="877"/>
      <c r="N574" s="733"/>
      <c r="O574" s="733"/>
    </row>
    <row r="575" spans="2:15">
      <c r="B575" s="332"/>
      <c r="C575" s="723">
        <f>IF(D542="","-",+C574+1)</f>
        <v>2043</v>
      </c>
      <c r="D575" s="674">
        <f t="shared" si="32"/>
        <v>6334147.7246376704</v>
      </c>
      <c r="E575" s="730">
        <f t="shared" si="35"/>
        <v>318032.52173913043</v>
      </c>
      <c r="F575" s="674">
        <f t="shared" si="30"/>
        <v>6016115.2028985396</v>
      </c>
      <c r="G575" s="1265">
        <f t="shared" si="33"/>
        <v>941495.04327656538</v>
      </c>
      <c r="H575" s="1268">
        <f t="shared" si="34"/>
        <v>941495.04327656538</v>
      </c>
      <c r="I575" s="727">
        <f t="shared" si="31"/>
        <v>0</v>
      </c>
      <c r="J575" s="727"/>
      <c r="K575" s="877"/>
      <c r="L575" s="733"/>
      <c r="M575" s="877"/>
      <c r="N575" s="733"/>
      <c r="O575" s="733"/>
    </row>
    <row r="576" spans="2:15">
      <c r="B576" s="332"/>
      <c r="C576" s="723">
        <f>IF(D542="","-",+C575+1)</f>
        <v>2044</v>
      </c>
      <c r="D576" s="674">
        <f t="shared" si="32"/>
        <v>6016115.2028985396</v>
      </c>
      <c r="E576" s="730">
        <f t="shared" si="35"/>
        <v>318032.52173913043</v>
      </c>
      <c r="F576" s="674">
        <f t="shared" si="30"/>
        <v>5698082.6811594088</v>
      </c>
      <c r="G576" s="1274">
        <f t="shared" si="33"/>
        <v>909385.38551498065</v>
      </c>
      <c r="H576" s="1268">
        <f t="shared" si="34"/>
        <v>909385.38551498065</v>
      </c>
      <c r="I576" s="727">
        <f t="shared" si="31"/>
        <v>0</v>
      </c>
      <c r="J576" s="727"/>
      <c r="K576" s="877"/>
      <c r="L576" s="733"/>
      <c r="M576" s="877"/>
      <c r="N576" s="733"/>
      <c r="O576" s="733"/>
    </row>
    <row r="577" spans="2:15">
      <c r="B577" s="332"/>
      <c r="C577" s="723">
        <f>IF(D542="","-",+C576+1)</f>
        <v>2045</v>
      </c>
      <c r="D577" s="674">
        <f t="shared" si="32"/>
        <v>5698082.6811594088</v>
      </c>
      <c r="E577" s="730">
        <f t="shared" si="35"/>
        <v>318032.52173913043</v>
      </c>
      <c r="F577" s="674">
        <f t="shared" si="30"/>
        <v>5380050.1594202779</v>
      </c>
      <c r="G577" s="1265">
        <f t="shared" si="33"/>
        <v>877275.72775339591</v>
      </c>
      <c r="H577" s="1268">
        <f t="shared" si="34"/>
        <v>877275.72775339591</v>
      </c>
      <c r="I577" s="727">
        <f t="shared" si="31"/>
        <v>0</v>
      </c>
      <c r="J577" s="727"/>
      <c r="K577" s="877"/>
      <c r="L577" s="733"/>
      <c r="M577" s="877"/>
      <c r="N577" s="733"/>
      <c r="O577" s="733"/>
    </row>
    <row r="578" spans="2:15">
      <c r="B578" s="332"/>
      <c r="C578" s="723">
        <f>IF(D542="","-",+C577+1)</f>
        <v>2046</v>
      </c>
      <c r="D578" s="674">
        <f t="shared" si="32"/>
        <v>5380050.1594202779</v>
      </c>
      <c r="E578" s="730">
        <f t="shared" si="35"/>
        <v>318032.52173913043</v>
      </c>
      <c r="F578" s="674">
        <f t="shared" si="30"/>
        <v>5062017.6376811471</v>
      </c>
      <c r="G578" s="1265">
        <f t="shared" si="33"/>
        <v>845166.06999181118</v>
      </c>
      <c r="H578" s="1268">
        <f t="shared" si="34"/>
        <v>845166.06999181118</v>
      </c>
      <c r="I578" s="727">
        <f t="shared" si="31"/>
        <v>0</v>
      </c>
      <c r="J578" s="727"/>
      <c r="K578" s="877"/>
      <c r="L578" s="733"/>
      <c r="M578" s="877"/>
      <c r="N578" s="733"/>
      <c r="O578" s="733"/>
    </row>
    <row r="579" spans="2:15">
      <c r="B579" s="332"/>
      <c r="C579" s="723">
        <f>IF(D542="","-",+C578+1)</f>
        <v>2047</v>
      </c>
      <c r="D579" s="674">
        <f t="shared" si="32"/>
        <v>5062017.6376811471</v>
      </c>
      <c r="E579" s="730">
        <f t="shared" si="35"/>
        <v>318032.52173913043</v>
      </c>
      <c r="F579" s="674">
        <f t="shared" si="30"/>
        <v>4743985.1159420162</v>
      </c>
      <c r="G579" s="1265">
        <f t="shared" si="33"/>
        <v>813056.41223022644</v>
      </c>
      <c r="H579" s="1268">
        <f t="shared" si="34"/>
        <v>813056.41223022644</v>
      </c>
      <c r="I579" s="727">
        <f t="shared" si="31"/>
        <v>0</v>
      </c>
      <c r="J579" s="727"/>
      <c r="K579" s="877"/>
      <c r="L579" s="733"/>
      <c r="M579" s="877"/>
      <c r="N579" s="733"/>
      <c r="O579" s="733"/>
    </row>
    <row r="580" spans="2:15">
      <c r="B580" s="332"/>
      <c r="C580" s="723">
        <f>IF(D542="","-",+C579+1)</f>
        <v>2048</v>
      </c>
      <c r="D580" s="674">
        <f t="shared" si="32"/>
        <v>4743985.1159420162</v>
      </c>
      <c r="E580" s="730">
        <f t="shared" si="35"/>
        <v>318032.52173913043</v>
      </c>
      <c r="F580" s="674">
        <f t="shared" si="30"/>
        <v>4425952.5942028854</v>
      </c>
      <c r="G580" s="1265">
        <f t="shared" si="33"/>
        <v>780946.75446864171</v>
      </c>
      <c r="H580" s="1268">
        <f t="shared" si="34"/>
        <v>780946.75446864171</v>
      </c>
      <c r="I580" s="727">
        <f t="shared" si="31"/>
        <v>0</v>
      </c>
      <c r="J580" s="727"/>
      <c r="K580" s="877"/>
      <c r="L580" s="733"/>
      <c r="M580" s="877"/>
      <c r="N580" s="733"/>
      <c r="O580" s="733"/>
    </row>
    <row r="581" spans="2:15">
      <c r="B581" s="332"/>
      <c r="C581" s="723">
        <f>IF(D542="","-",+C580+1)</f>
        <v>2049</v>
      </c>
      <c r="D581" s="674">
        <f t="shared" si="32"/>
        <v>4425952.5942028854</v>
      </c>
      <c r="E581" s="730">
        <f t="shared" si="35"/>
        <v>318032.52173913043</v>
      </c>
      <c r="F581" s="674">
        <f t="shared" si="30"/>
        <v>4107920.072463755</v>
      </c>
      <c r="G581" s="1265">
        <f t="shared" si="33"/>
        <v>748837.09670705697</v>
      </c>
      <c r="H581" s="1268">
        <f t="shared" si="34"/>
        <v>748837.09670705697</v>
      </c>
      <c r="I581" s="727">
        <f t="shared" si="31"/>
        <v>0</v>
      </c>
      <c r="J581" s="727"/>
      <c r="K581" s="877"/>
      <c r="L581" s="733"/>
      <c r="M581" s="877"/>
      <c r="N581" s="733"/>
      <c r="O581" s="733"/>
    </row>
    <row r="582" spans="2:15">
      <c r="B582" s="332"/>
      <c r="C582" s="723">
        <f>IF(D542="","-",+C581+1)</f>
        <v>2050</v>
      </c>
      <c r="D582" s="674">
        <f t="shared" si="32"/>
        <v>4107920.072463755</v>
      </c>
      <c r="E582" s="730">
        <f t="shared" si="35"/>
        <v>318032.52173913043</v>
      </c>
      <c r="F582" s="674">
        <f t="shared" si="30"/>
        <v>3789887.5507246247</v>
      </c>
      <c r="G582" s="1265">
        <f t="shared" si="33"/>
        <v>716727.43894547236</v>
      </c>
      <c r="H582" s="1268">
        <f t="shared" si="34"/>
        <v>716727.43894547236</v>
      </c>
      <c r="I582" s="727">
        <f t="shared" si="31"/>
        <v>0</v>
      </c>
      <c r="J582" s="727"/>
      <c r="K582" s="877"/>
      <c r="L582" s="733"/>
      <c r="M582" s="877"/>
      <c r="N582" s="733"/>
      <c r="O582" s="733"/>
    </row>
    <row r="583" spans="2:15">
      <c r="B583" s="332"/>
      <c r="C583" s="723">
        <f>IF(D542="","-",+C582+1)</f>
        <v>2051</v>
      </c>
      <c r="D583" s="674">
        <f t="shared" si="32"/>
        <v>3789887.5507246247</v>
      </c>
      <c r="E583" s="730">
        <f t="shared" si="35"/>
        <v>318032.52173913043</v>
      </c>
      <c r="F583" s="674">
        <f t="shared" si="30"/>
        <v>3471855.0289854943</v>
      </c>
      <c r="G583" s="1265">
        <f t="shared" si="33"/>
        <v>684617.78118388762</v>
      </c>
      <c r="H583" s="1268">
        <f t="shared" si="34"/>
        <v>684617.78118388762</v>
      </c>
      <c r="I583" s="727">
        <f t="shared" si="31"/>
        <v>0</v>
      </c>
      <c r="J583" s="727"/>
      <c r="K583" s="877"/>
      <c r="L583" s="733"/>
      <c r="M583" s="877"/>
      <c r="N583" s="733"/>
      <c r="O583" s="733"/>
    </row>
    <row r="584" spans="2:15">
      <c r="B584" s="332"/>
      <c r="C584" s="723">
        <f>IF(D542="","-",+C583+1)</f>
        <v>2052</v>
      </c>
      <c r="D584" s="674">
        <f t="shared" si="32"/>
        <v>3471855.0289854943</v>
      </c>
      <c r="E584" s="730">
        <f t="shared" si="35"/>
        <v>318032.52173913043</v>
      </c>
      <c r="F584" s="674">
        <f t="shared" si="30"/>
        <v>3153822.5072463639</v>
      </c>
      <c r="G584" s="1265">
        <f t="shared" si="33"/>
        <v>652508.123422303</v>
      </c>
      <c r="H584" s="1268">
        <f t="shared" si="34"/>
        <v>652508.123422303</v>
      </c>
      <c r="I584" s="727">
        <f t="shared" si="31"/>
        <v>0</v>
      </c>
      <c r="J584" s="727"/>
      <c r="K584" s="877"/>
      <c r="L584" s="733"/>
      <c r="M584" s="877"/>
      <c r="N584" s="733"/>
      <c r="O584" s="733"/>
    </row>
    <row r="585" spans="2:15">
      <c r="B585" s="332"/>
      <c r="C585" s="723">
        <f>IF(D542="","-",+C584+1)</f>
        <v>2053</v>
      </c>
      <c r="D585" s="674">
        <f t="shared" si="32"/>
        <v>3153822.5072463639</v>
      </c>
      <c r="E585" s="730">
        <f t="shared" si="35"/>
        <v>318032.52173913043</v>
      </c>
      <c r="F585" s="674">
        <f t="shared" si="30"/>
        <v>2835789.9855072335</v>
      </c>
      <c r="G585" s="1265">
        <f t="shared" si="33"/>
        <v>620398.46566071827</v>
      </c>
      <c r="H585" s="1268">
        <f t="shared" si="34"/>
        <v>620398.46566071827</v>
      </c>
      <c r="I585" s="727">
        <f t="shared" si="31"/>
        <v>0</v>
      </c>
      <c r="J585" s="727"/>
      <c r="K585" s="877"/>
      <c r="L585" s="733"/>
      <c r="M585" s="877"/>
      <c r="N585" s="733"/>
      <c r="O585" s="733"/>
    </row>
    <row r="586" spans="2:15">
      <c r="B586" s="332"/>
      <c r="C586" s="723">
        <f>IF(D542="","-",+C585+1)</f>
        <v>2054</v>
      </c>
      <c r="D586" s="674">
        <f t="shared" si="32"/>
        <v>2835789.9855072335</v>
      </c>
      <c r="E586" s="730">
        <f t="shared" si="35"/>
        <v>318032.52173913043</v>
      </c>
      <c r="F586" s="674">
        <f t="shared" si="30"/>
        <v>2517757.4637681032</v>
      </c>
      <c r="G586" s="1265">
        <f t="shared" si="33"/>
        <v>588288.80789913365</v>
      </c>
      <c r="H586" s="1268">
        <f t="shared" si="34"/>
        <v>588288.80789913365</v>
      </c>
      <c r="I586" s="727">
        <f t="shared" si="31"/>
        <v>0</v>
      </c>
      <c r="J586" s="727"/>
      <c r="K586" s="877"/>
      <c r="L586" s="733"/>
      <c r="M586" s="877"/>
      <c r="N586" s="733"/>
      <c r="O586" s="733"/>
    </row>
    <row r="587" spans="2:15">
      <c r="B587" s="332"/>
      <c r="C587" s="723">
        <f>IF(D542="","-",+C586+1)</f>
        <v>2055</v>
      </c>
      <c r="D587" s="674">
        <f t="shared" si="32"/>
        <v>2517757.4637681032</v>
      </c>
      <c r="E587" s="730">
        <f t="shared" si="35"/>
        <v>318032.52173913043</v>
      </c>
      <c r="F587" s="674">
        <f t="shared" si="30"/>
        <v>2199724.9420289728</v>
      </c>
      <c r="G587" s="1265">
        <f t="shared" si="33"/>
        <v>556179.15013754892</v>
      </c>
      <c r="H587" s="1268">
        <f t="shared" si="34"/>
        <v>556179.15013754892</v>
      </c>
      <c r="I587" s="727">
        <f t="shared" si="31"/>
        <v>0</v>
      </c>
      <c r="J587" s="727"/>
      <c r="K587" s="877"/>
      <c r="L587" s="733"/>
      <c r="M587" s="877"/>
      <c r="N587" s="733"/>
      <c r="O587" s="733"/>
    </row>
    <row r="588" spans="2:15">
      <c r="B588" s="332"/>
      <c r="C588" s="723">
        <f>IF(D542="","-",+C587+1)</f>
        <v>2056</v>
      </c>
      <c r="D588" s="674">
        <f t="shared" si="32"/>
        <v>2199724.9420289728</v>
      </c>
      <c r="E588" s="730">
        <f t="shared" si="35"/>
        <v>318032.52173913043</v>
      </c>
      <c r="F588" s="674">
        <f t="shared" si="30"/>
        <v>1881692.4202898424</v>
      </c>
      <c r="G588" s="1265">
        <f t="shared" si="33"/>
        <v>524069.49237596424</v>
      </c>
      <c r="H588" s="1268">
        <f t="shared" si="34"/>
        <v>524069.49237596424</v>
      </c>
      <c r="I588" s="727">
        <f t="shared" si="31"/>
        <v>0</v>
      </c>
      <c r="J588" s="727"/>
      <c r="K588" s="877"/>
      <c r="L588" s="733"/>
      <c r="M588" s="877"/>
      <c r="N588" s="733"/>
      <c r="O588" s="733"/>
    </row>
    <row r="589" spans="2:15">
      <c r="B589" s="332"/>
      <c r="C589" s="723">
        <f>IF(D542="","-",+C588+1)</f>
        <v>2057</v>
      </c>
      <c r="D589" s="674">
        <f t="shared" si="32"/>
        <v>1881692.4202898424</v>
      </c>
      <c r="E589" s="730">
        <f t="shared" si="35"/>
        <v>318032.52173913043</v>
      </c>
      <c r="F589" s="674">
        <f t="shared" si="30"/>
        <v>1563659.898550712</v>
      </c>
      <c r="G589" s="1265">
        <f t="shared" si="33"/>
        <v>491959.83461437956</v>
      </c>
      <c r="H589" s="1268">
        <f t="shared" si="34"/>
        <v>491959.83461437956</v>
      </c>
      <c r="I589" s="727">
        <f t="shared" si="31"/>
        <v>0</v>
      </c>
      <c r="J589" s="727"/>
      <c r="K589" s="877"/>
      <c r="L589" s="733"/>
      <c r="M589" s="877"/>
      <c r="N589" s="733"/>
      <c r="O589" s="733"/>
    </row>
    <row r="590" spans="2:15">
      <c r="B590" s="332"/>
      <c r="C590" s="723">
        <f>IF(D542="","-",+C589+1)</f>
        <v>2058</v>
      </c>
      <c r="D590" s="674">
        <f t="shared" si="32"/>
        <v>1563659.898550712</v>
      </c>
      <c r="E590" s="730">
        <f t="shared" si="35"/>
        <v>318032.52173913043</v>
      </c>
      <c r="F590" s="674">
        <f t="shared" si="30"/>
        <v>1245627.3768115817</v>
      </c>
      <c r="G590" s="1265">
        <f t="shared" si="33"/>
        <v>459850.17685279489</v>
      </c>
      <c r="H590" s="1268">
        <f t="shared" si="34"/>
        <v>459850.17685279489</v>
      </c>
      <c r="I590" s="727">
        <f t="shared" si="31"/>
        <v>0</v>
      </c>
      <c r="J590" s="727"/>
      <c r="K590" s="877"/>
      <c r="L590" s="733"/>
      <c r="M590" s="877"/>
      <c r="N590" s="733"/>
      <c r="O590" s="733"/>
    </row>
    <row r="591" spans="2:15">
      <c r="B591" s="332"/>
      <c r="C591" s="723">
        <f>IF(D542="","-",+C590+1)</f>
        <v>2059</v>
      </c>
      <c r="D591" s="674">
        <f t="shared" si="32"/>
        <v>1245627.3768115817</v>
      </c>
      <c r="E591" s="730">
        <f t="shared" si="35"/>
        <v>318032.52173913043</v>
      </c>
      <c r="F591" s="674">
        <f t="shared" si="30"/>
        <v>927594.85507245129</v>
      </c>
      <c r="G591" s="1265">
        <f t="shared" si="33"/>
        <v>427740.51909121021</v>
      </c>
      <c r="H591" s="1268">
        <f t="shared" si="34"/>
        <v>427740.51909121021</v>
      </c>
      <c r="I591" s="727">
        <f t="shared" si="31"/>
        <v>0</v>
      </c>
      <c r="J591" s="727"/>
      <c r="K591" s="877"/>
      <c r="L591" s="733"/>
      <c r="M591" s="877"/>
      <c r="N591" s="733"/>
      <c r="O591" s="733"/>
    </row>
    <row r="592" spans="2:15">
      <c r="B592" s="332"/>
      <c r="C592" s="723">
        <f>IF(D542="","-",+C591+1)</f>
        <v>2060</v>
      </c>
      <c r="D592" s="674">
        <f t="shared" si="32"/>
        <v>927594.85507245129</v>
      </c>
      <c r="E592" s="730">
        <f t="shared" si="35"/>
        <v>318032.52173913043</v>
      </c>
      <c r="F592" s="674">
        <f t="shared" si="30"/>
        <v>609562.33333332092</v>
      </c>
      <c r="G592" s="1265">
        <f t="shared" si="33"/>
        <v>395630.86132962548</v>
      </c>
      <c r="H592" s="1268">
        <f t="shared" si="34"/>
        <v>395630.86132962548</v>
      </c>
      <c r="I592" s="727">
        <f t="shared" si="31"/>
        <v>0</v>
      </c>
      <c r="J592" s="727"/>
      <c r="K592" s="877"/>
      <c r="L592" s="733"/>
      <c r="M592" s="877"/>
      <c r="N592" s="733"/>
      <c r="O592" s="733"/>
    </row>
    <row r="593" spans="2:15">
      <c r="B593" s="332"/>
      <c r="C593" s="723">
        <f>IF(D542="","-",+C592+1)</f>
        <v>2061</v>
      </c>
      <c r="D593" s="674">
        <f t="shared" si="32"/>
        <v>609562.33333332092</v>
      </c>
      <c r="E593" s="730">
        <f t="shared" si="35"/>
        <v>318032.52173913043</v>
      </c>
      <c r="F593" s="674">
        <f t="shared" si="30"/>
        <v>291529.81159419048</v>
      </c>
      <c r="G593" s="1265">
        <f t="shared" si="33"/>
        <v>363521.20356804086</v>
      </c>
      <c r="H593" s="1268">
        <f t="shared" si="34"/>
        <v>363521.20356804086</v>
      </c>
      <c r="I593" s="727">
        <f t="shared" si="31"/>
        <v>0</v>
      </c>
      <c r="J593" s="727"/>
      <c r="K593" s="877"/>
      <c r="L593" s="733"/>
      <c r="M593" s="877"/>
      <c r="N593" s="733"/>
      <c r="O593" s="733"/>
    </row>
    <row r="594" spans="2:15">
      <c r="B594" s="332"/>
      <c r="C594" s="723">
        <f>IF(D542="","-",+C593+1)</f>
        <v>2062</v>
      </c>
      <c r="D594" s="674">
        <f t="shared" si="32"/>
        <v>291529.81159419048</v>
      </c>
      <c r="E594" s="730">
        <f t="shared" si="35"/>
        <v>291529.81159419048</v>
      </c>
      <c r="F594" s="674">
        <f t="shared" si="30"/>
        <v>0</v>
      </c>
      <c r="G594" s="1265">
        <f t="shared" si="33"/>
        <v>306246.73806824948</v>
      </c>
      <c r="H594" s="1268">
        <f t="shared" si="34"/>
        <v>306246.73806824948</v>
      </c>
      <c r="I594" s="727">
        <f t="shared" si="31"/>
        <v>0</v>
      </c>
      <c r="J594" s="727"/>
      <c r="K594" s="877"/>
      <c r="L594" s="733"/>
      <c r="M594" s="877"/>
      <c r="N594" s="733"/>
      <c r="O594" s="733"/>
    </row>
    <row r="595" spans="2:15">
      <c r="B595" s="332"/>
      <c r="C595" s="723">
        <f>IF(D542="","-",+C594+1)</f>
        <v>2063</v>
      </c>
      <c r="D595" s="674">
        <f t="shared" si="32"/>
        <v>0</v>
      </c>
      <c r="E595" s="730">
        <f t="shared" si="35"/>
        <v>0</v>
      </c>
      <c r="F595" s="674">
        <f t="shared" si="30"/>
        <v>0</v>
      </c>
      <c r="G595" s="1265">
        <f t="shared" si="33"/>
        <v>0</v>
      </c>
      <c r="H595" s="1268">
        <f t="shared" si="34"/>
        <v>0</v>
      </c>
      <c r="I595" s="727">
        <f t="shared" si="31"/>
        <v>0</v>
      </c>
      <c r="J595" s="727"/>
      <c r="K595" s="877"/>
      <c r="L595" s="733"/>
      <c r="M595" s="877"/>
      <c r="N595" s="733"/>
      <c r="O595" s="733"/>
    </row>
    <row r="596" spans="2:15">
      <c r="B596" s="332"/>
      <c r="C596" s="723">
        <f>IF(D542="","-",+C595+1)</f>
        <v>2064</v>
      </c>
      <c r="D596" s="674">
        <f t="shared" si="32"/>
        <v>0</v>
      </c>
      <c r="E596" s="730">
        <f t="shared" si="35"/>
        <v>0</v>
      </c>
      <c r="F596" s="674">
        <f t="shared" si="30"/>
        <v>0</v>
      </c>
      <c r="G596" s="1265">
        <f t="shared" si="33"/>
        <v>0</v>
      </c>
      <c r="H596" s="1268">
        <f t="shared" si="34"/>
        <v>0</v>
      </c>
      <c r="I596" s="727">
        <f t="shared" si="31"/>
        <v>0</v>
      </c>
      <c r="J596" s="727"/>
      <c r="K596" s="877"/>
      <c r="L596" s="733"/>
      <c r="M596" s="877"/>
      <c r="N596" s="733"/>
      <c r="O596" s="733"/>
    </row>
    <row r="597" spans="2:15">
      <c r="B597" s="332"/>
      <c r="C597" s="723">
        <f>IF(D542="","-",+C596+1)</f>
        <v>2065</v>
      </c>
      <c r="D597" s="674">
        <f t="shared" si="32"/>
        <v>0</v>
      </c>
      <c r="E597" s="730">
        <f t="shared" si="35"/>
        <v>0</v>
      </c>
      <c r="F597" s="674">
        <f t="shared" si="30"/>
        <v>0</v>
      </c>
      <c r="G597" s="1265">
        <f t="shared" si="33"/>
        <v>0</v>
      </c>
      <c r="H597" s="1268">
        <f t="shared" si="34"/>
        <v>0</v>
      </c>
      <c r="I597" s="727">
        <f t="shared" si="31"/>
        <v>0</v>
      </c>
      <c r="J597" s="727"/>
      <c r="K597" s="877"/>
      <c r="L597" s="733"/>
      <c r="M597" s="877"/>
      <c r="N597" s="733"/>
      <c r="O597" s="733"/>
    </row>
    <row r="598" spans="2:15">
      <c r="B598" s="332"/>
      <c r="C598" s="723">
        <f>IF(D542="","-",+C597+1)</f>
        <v>2066</v>
      </c>
      <c r="D598" s="674">
        <f t="shared" si="32"/>
        <v>0</v>
      </c>
      <c r="E598" s="730">
        <f t="shared" si="35"/>
        <v>0</v>
      </c>
      <c r="F598" s="674">
        <f t="shared" si="30"/>
        <v>0</v>
      </c>
      <c r="G598" s="1265">
        <f t="shared" si="33"/>
        <v>0</v>
      </c>
      <c r="H598" s="1268">
        <f t="shared" si="34"/>
        <v>0</v>
      </c>
      <c r="I598" s="727">
        <f t="shared" si="31"/>
        <v>0</v>
      </c>
      <c r="J598" s="727"/>
      <c r="K598" s="877"/>
      <c r="L598" s="733"/>
      <c r="M598" s="877"/>
      <c r="N598" s="733"/>
      <c r="O598" s="733"/>
    </row>
    <row r="599" spans="2:15">
      <c r="B599" s="332"/>
      <c r="C599" s="723">
        <f>IF(D542="","-",+C598+1)</f>
        <v>2067</v>
      </c>
      <c r="D599" s="674">
        <f t="shared" si="32"/>
        <v>0</v>
      </c>
      <c r="E599" s="730">
        <f t="shared" si="35"/>
        <v>0</v>
      </c>
      <c r="F599" s="674">
        <f t="shared" si="30"/>
        <v>0</v>
      </c>
      <c r="G599" s="1265">
        <f t="shared" si="33"/>
        <v>0</v>
      </c>
      <c r="H599" s="1268">
        <f t="shared" si="34"/>
        <v>0</v>
      </c>
      <c r="I599" s="727">
        <f t="shared" si="31"/>
        <v>0</v>
      </c>
      <c r="J599" s="727"/>
      <c r="K599" s="877"/>
      <c r="L599" s="733"/>
      <c r="M599" s="877"/>
      <c r="N599" s="733"/>
      <c r="O599" s="733"/>
    </row>
    <row r="600" spans="2:15">
      <c r="B600" s="332"/>
      <c r="C600" s="723">
        <f>IF(D542="","-",+C599+1)</f>
        <v>2068</v>
      </c>
      <c r="D600" s="674">
        <f t="shared" si="32"/>
        <v>0</v>
      </c>
      <c r="E600" s="730">
        <f t="shared" si="35"/>
        <v>0</v>
      </c>
      <c r="F600" s="674">
        <f t="shared" si="30"/>
        <v>0</v>
      </c>
      <c r="G600" s="1265">
        <f t="shared" si="33"/>
        <v>0</v>
      </c>
      <c r="H600" s="1268">
        <f t="shared" si="34"/>
        <v>0</v>
      </c>
      <c r="I600" s="727">
        <f t="shared" si="31"/>
        <v>0</v>
      </c>
      <c r="J600" s="727"/>
      <c r="K600" s="877"/>
      <c r="L600" s="733"/>
      <c r="M600" s="877"/>
      <c r="N600" s="733"/>
      <c r="O600" s="733"/>
    </row>
    <row r="601" spans="2:15">
      <c r="B601" s="332"/>
      <c r="C601" s="723">
        <f>IF(D542="","-",+C600+1)</f>
        <v>2069</v>
      </c>
      <c r="D601" s="674">
        <f t="shared" si="32"/>
        <v>0</v>
      </c>
      <c r="E601" s="730">
        <f t="shared" si="35"/>
        <v>0</v>
      </c>
      <c r="F601" s="674">
        <f t="shared" si="30"/>
        <v>0</v>
      </c>
      <c r="G601" s="1265">
        <f t="shared" si="33"/>
        <v>0</v>
      </c>
      <c r="H601" s="1268">
        <f t="shared" si="34"/>
        <v>0</v>
      </c>
      <c r="I601" s="727">
        <f t="shared" si="31"/>
        <v>0</v>
      </c>
      <c r="J601" s="727"/>
      <c r="K601" s="877"/>
      <c r="L601" s="733"/>
      <c r="M601" s="877"/>
      <c r="N601" s="733"/>
      <c r="O601" s="733"/>
    </row>
    <row r="602" spans="2:15">
      <c r="B602" s="332"/>
      <c r="C602" s="723">
        <f>IF(D542="","-",+C601+1)</f>
        <v>2070</v>
      </c>
      <c r="D602" s="674">
        <f t="shared" si="32"/>
        <v>0</v>
      </c>
      <c r="E602" s="730">
        <f t="shared" si="35"/>
        <v>0</v>
      </c>
      <c r="F602" s="674">
        <f t="shared" si="30"/>
        <v>0</v>
      </c>
      <c r="G602" s="1265">
        <f t="shared" si="33"/>
        <v>0</v>
      </c>
      <c r="H602" s="1268">
        <f t="shared" si="34"/>
        <v>0</v>
      </c>
      <c r="I602" s="727">
        <f t="shared" si="31"/>
        <v>0</v>
      </c>
      <c r="J602" s="727"/>
      <c r="K602" s="877"/>
      <c r="L602" s="733"/>
      <c r="M602" s="877"/>
      <c r="N602" s="733"/>
      <c r="O602" s="733"/>
    </row>
    <row r="603" spans="2:15">
      <c r="B603" s="332"/>
      <c r="C603" s="723">
        <f>IF(D542="","-",+C602+1)</f>
        <v>2071</v>
      </c>
      <c r="D603" s="674">
        <f t="shared" si="32"/>
        <v>0</v>
      </c>
      <c r="E603" s="730">
        <f t="shared" si="35"/>
        <v>0</v>
      </c>
      <c r="F603" s="674">
        <f t="shared" si="30"/>
        <v>0</v>
      </c>
      <c r="G603" s="1265">
        <f t="shared" si="33"/>
        <v>0</v>
      </c>
      <c r="H603" s="1268">
        <f t="shared" si="34"/>
        <v>0</v>
      </c>
      <c r="I603" s="727">
        <f t="shared" si="31"/>
        <v>0</v>
      </c>
      <c r="J603" s="727"/>
      <c r="K603" s="877"/>
      <c r="L603" s="733"/>
      <c r="M603" s="877"/>
      <c r="N603" s="733"/>
      <c r="O603" s="733"/>
    </row>
    <row r="604" spans="2:15">
      <c r="B604" s="332"/>
      <c r="C604" s="723">
        <f>IF(D542="","-",+C603+1)</f>
        <v>2072</v>
      </c>
      <c r="D604" s="674">
        <f t="shared" si="32"/>
        <v>0</v>
      </c>
      <c r="E604" s="730">
        <f t="shared" si="35"/>
        <v>0</v>
      </c>
      <c r="F604" s="674">
        <f t="shared" si="30"/>
        <v>0</v>
      </c>
      <c r="G604" s="1265">
        <f t="shared" si="33"/>
        <v>0</v>
      </c>
      <c r="H604" s="1268">
        <f t="shared" si="34"/>
        <v>0</v>
      </c>
      <c r="I604" s="727">
        <f t="shared" si="31"/>
        <v>0</v>
      </c>
      <c r="J604" s="727"/>
      <c r="K604" s="877"/>
      <c r="L604" s="733"/>
      <c r="M604" s="877"/>
      <c r="N604" s="733"/>
      <c r="O604" s="733"/>
    </row>
    <row r="605" spans="2:15">
      <c r="B605" s="332"/>
      <c r="C605" s="723">
        <f>IF(D542="","-",+C604+1)</f>
        <v>2073</v>
      </c>
      <c r="D605" s="674">
        <f t="shared" si="32"/>
        <v>0</v>
      </c>
      <c r="E605" s="730">
        <f t="shared" si="35"/>
        <v>0</v>
      </c>
      <c r="F605" s="674">
        <f t="shared" si="30"/>
        <v>0</v>
      </c>
      <c r="G605" s="1265">
        <f t="shared" si="33"/>
        <v>0</v>
      </c>
      <c r="H605" s="1268">
        <f t="shared" si="34"/>
        <v>0</v>
      </c>
      <c r="I605" s="727">
        <f t="shared" si="31"/>
        <v>0</v>
      </c>
      <c r="J605" s="727"/>
      <c r="K605" s="877"/>
      <c r="L605" s="733"/>
      <c r="M605" s="877"/>
      <c r="N605" s="733"/>
      <c r="O605" s="733"/>
    </row>
    <row r="606" spans="2:15">
      <c r="B606" s="332"/>
      <c r="C606" s="723">
        <f>IF(D542="","-",+C605+1)</f>
        <v>2074</v>
      </c>
      <c r="D606" s="674">
        <f t="shared" si="32"/>
        <v>0</v>
      </c>
      <c r="E606" s="730">
        <f t="shared" si="35"/>
        <v>0</v>
      </c>
      <c r="F606" s="674">
        <f t="shared" si="30"/>
        <v>0</v>
      </c>
      <c r="G606" s="1265">
        <f t="shared" si="33"/>
        <v>0</v>
      </c>
      <c r="H606" s="1268">
        <f t="shared" si="34"/>
        <v>0</v>
      </c>
      <c r="I606" s="727">
        <f t="shared" si="31"/>
        <v>0</v>
      </c>
      <c r="J606" s="727"/>
      <c r="K606" s="877"/>
      <c r="L606" s="733"/>
      <c r="M606" s="877"/>
      <c r="N606" s="733"/>
      <c r="O606" s="733"/>
    </row>
    <row r="607" spans="2:15" ht="13.5" thickBot="1">
      <c r="B607" s="332"/>
      <c r="C607" s="735">
        <f>IF(D542="","-",+C606+1)</f>
        <v>2075</v>
      </c>
      <c r="D607" s="736">
        <f t="shared" si="32"/>
        <v>0</v>
      </c>
      <c r="E607" s="737">
        <f t="shared" si="35"/>
        <v>0</v>
      </c>
      <c r="F607" s="736">
        <f t="shared" si="30"/>
        <v>0</v>
      </c>
      <c r="G607" s="1275">
        <f t="shared" si="33"/>
        <v>0</v>
      </c>
      <c r="H607" s="1275">
        <f t="shared" si="34"/>
        <v>0</v>
      </c>
      <c r="I607" s="739">
        <f t="shared" si="31"/>
        <v>0</v>
      </c>
      <c r="J607" s="727"/>
      <c r="K607" s="878"/>
      <c r="L607" s="741"/>
      <c r="M607" s="878"/>
      <c r="N607" s="741"/>
      <c r="O607" s="741"/>
    </row>
    <row r="608" spans="2:15">
      <c r="B608" s="332"/>
      <c r="C608" s="674" t="s">
        <v>288</v>
      </c>
      <c r="D608" s="1246"/>
      <c r="E608" s="1246">
        <f>SUM(E548:E607)</f>
        <v>14629495.999999998</v>
      </c>
      <c r="F608" s="1246"/>
      <c r="G608" s="1246">
        <f>SUM(G548:G607)</f>
        <v>49955471.14737004</v>
      </c>
      <c r="H608" s="1246">
        <f>SUM(H548:H607)</f>
        <v>49955471.14737004</v>
      </c>
      <c r="I608" s="1246">
        <f>SUM(I548:I607)</f>
        <v>0</v>
      </c>
      <c r="J608" s="1246"/>
      <c r="K608" s="1246"/>
      <c r="L608" s="1246"/>
      <c r="M608" s="1246"/>
      <c r="N608" s="1246"/>
      <c r="O608" s="541"/>
    </row>
    <row r="609" spans="1:16">
      <c r="B609" s="332"/>
      <c r="D609" s="564"/>
      <c r="E609" s="541"/>
      <c r="F609" s="541"/>
      <c r="G609" s="541"/>
      <c r="H609" s="1245"/>
      <c r="I609" s="1245"/>
      <c r="J609" s="1246"/>
      <c r="K609" s="1245"/>
      <c r="L609" s="1245"/>
      <c r="M609" s="1245"/>
      <c r="N609" s="1245"/>
      <c r="O609" s="541"/>
    </row>
    <row r="610" spans="1:16">
      <c r="B610" s="332"/>
      <c r="C610" s="541" t="s">
        <v>601</v>
      </c>
      <c r="D610" s="564"/>
      <c r="E610" s="541"/>
      <c r="F610" s="541"/>
      <c r="G610" s="541"/>
      <c r="H610" s="1245"/>
      <c r="I610" s="1245"/>
      <c r="J610" s="1246"/>
      <c r="K610" s="1245"/>
      <c r="L610" s="1245"/>
      <c r="M610" s="1245"/>
      <c r="N610" s="1245"/>
      <c r="O610" s="541"/>
    </row>
    <row r="611" spans="1:16">
      <c r="B611" s="332"/>
      <c r="D611" s="564"/>
      <c r="E611" s="541"/>
      <c r="F611" s="541"/>
      <c r="G611" s="541"/>
      <c r="H611" s="1245"/>
      <c r="I611" s="1245"/>
      <c r="J611" s="1246"/>
      <c r="K611" s="1245"/>
      <c r="L611" s="1245"/>
      <c r="M611" s="1245"/>
      <c r="N611" s="1245"/>
      <c r="O611" s="541"/>
    </row>
    <row r="612" spans="1:16">
      <c r="B612" s="332"/>
      <c r="C612" s="577" t="s">
        <v>602</v>
      </c>
      <c r="D612" s="674"/>
      <c r="E612" s="674"/>
      <c r="F612" s="674"/>
      <c r="G612" s="1246"/>
      <c r="H612" s="1246"/>
      <c r="I612" s="675"/>
      <c r="J612" s="675"/>
      <c r="K612" s="675"/>
      <c r="L612" s="675"/>
      <c r="M612" s="675"/>
      <c r="N612" s="675"/>
      <c r="O612" s="541"/>
    </row>
    <row r="613" spans="1:16">
      <c r="B613" s="332"/>
      <c r="C613" s="577" t="s">
        <v>476</v>
      </c>
      <c r="D613" s="674"/>
      <c r="E613" s="674"/>
      <c r="F613" s="674"/>
      <c r="G613" s="1246"/>
      <c r="H613" s="1246"/>
      <c r="I613" s="675"/>
      <c r="J613" s="675"/>
      <c r="K613" s="675"/>
      <c r="L613" s="675"/>
      <c r="M613" s="675"/>
      <c r="N613" s="675"/>
      <c r="O613" s="541"/>
    </row>
    <row r="614" spans="1:16">
      <c r="B614" s="332"/>
      <c r="C614" s="577" t="s">
        <v>289</v>
      </c>
      <c r="D614" s="674"/>
      <c r="E614" s="674"/>
      <c r="F614" s="674"/>
      <c r="G614" s="1246"/>
      <c r="H614" s="1246"/>
      <c r="I614" s="675"/>
      <c r="J614" s="675"/>
      <c r="K614" s="675"/>
      <c r="L614" s="675"/>
      <c r="M614" s="675"/>
      <c r="N614" s="675"/>
      <c r="O614" s="541"/>
    </row>
    <row r="615" spans="1:16">
      <c r="B615" s="332"/>
      <c r="C615" s="673"/>
      <c r="D615" s="674"/>
      <c r="E615" s="674"/>
      <c r="F615" s="674"/>
      <c r="G615" s="1246"/>
      <c r="H615" s="1246"/>
      <c r="I615" s="675"/>
      <c r="J615" s="675"/>
      <c r="K615" s="675"/>
      <c r="L615" s="675"/>
      <c r="M615" s="675"/>
      <c r="N615" s="675"/>
      <c r="O615" s="541"/>
    </row>
    <row r="616" spans="1:16">
      <c r="B616" s="332"/>
      <c r="C616" s="1543" t="s">
        <v>460</v>
      </c>
      <c r="D616" s="1543"/>
      <c r="E616" s="1543"/>
      <c r="F616" s="1543"/>
      <c r="G616" s="1543"/>
      <c r="H616" s="1543"/>
      <c r="I616" s="1543"/>
      <c r="J616" s="1543"/>
      <c r="K616" s="1543"/>
      <c r="L616" s="1543"/>
      <c r="M616" s="1543"/>
      <c r="N616" s="1543"/>
      <c r="O616" s="1543"/>
    </row>
    <row r="617" spans="1:16">
      <c r="B617" s="332"/>
      <c r="C617" s="1543"/>
      <c r="D617" s="1543"/>
      <c r="E617" s="1543"/>
      <c r="F617" s="1543"/>
      <c r="G617" s="1543"/>
      <c r="H617" s="1543"/>
      <c r="I617" s="1543"/>
      <c r="J617" s="1543"/>
      <c r="K617" s="1543"/>
      <c r="L617" s="1543"/>
      <c r="M617" s="1543"/>
      <c r="N617" s="1543"/>
      <c r="O617" s="1543"/>
    </row>
    <row r="618" spans="1:16" ht="20.25">
      <c r="A618" s="676" t="s">
        <v>972</v>
      </c>
      <c r="B618" s="541"/>
      <c r="C618" s="656"/>
      <c r="D618" s="564"/>
      <c r="E618" s="541"/>
      <c r="F618" s="646"/>
      <c r="G618" s="541"/>
      <c r="H618" s="1245"/>
      <c r="K618" s="677"/>
      <c r="L618" s="677"/>
      <c r="M618" s="677"/>
      <c r="N618" s="592" t="str">
        <f>"Page "&amp;SUM(P$6:P618)&amp;" of "</f>
        <v xml:space="preserve">Page 8 of </v>
      </c>
      <c r="O618" s="593">
        <f>COUNT(P$6:P$59606)</f>
        <v>14</v>
      </c>
      <c r="P618" s="541">
        <v>1</v>
      </c>
    </row>
    <row r="619" spans="1:16">
      <c r="B619" s="541"/>
      <c r="C619" s="541"/>
      <c r="D619" s="564"/>
      <c r="E619" s="541"/>
      <c r="F619" s="541"/>
      <c r="G619" s="541"/>
      <c r="H619" s="1245"/>
      <c r="I619" s="541"/>
      <c r="J619" s="589"/>
      <c r="K619" s="541"/>
      <c r="L619" s="541"/>
      <c r="M619" s="541"/>
      <c r="N619" s="541"/>
      <c r="O619" s="541"/>
    </row>
    <row r="620" spans="1:16" ht="18">
      <c r="B620" s="596" t="s">
        <v>174</v>
      </c>
      <c r="C620" s="678" t="s">
        <v>290</v>
      </c>
      <c r="D620" s="564"/>
      <c r="E620" s="541"/>
      <c r="F620" s="541"/>
      <c r="G620" s="541"/>
      <c r="H620" s="1245"/>
      <c r="I620" s="1245"/>
      <c r="J620" s="1246"/>
      <c r="K620" s="1245"/>
      <c r="L620" s="1245"/>
      <c r="M620" s="1245"/>
      <c r="N620" s="1245"/>
      <c r="O620" s="541"/>
    </row>
    <row r="621" spans="1:16" ht="18.75">
      <c r="B621" s="596"/>
      <c r="C621" s="595"/>
      <c r="D621" s="564"/>
      <c r="E621" s="541"/>
      <c r="F621" s="541"/>
      <c r="G621" s="541"/>
      <c r="H621" s="1245"/>
      <c r="I621" s="1245"/>
      <c r="J621" s="1246"/>
      <c r="K621" s="1245"/>
      <c r="L621" s="1245"/>
      <c r="M621" s="1245"/>
      <c r="N621" s="1245"/>
      <c r="O621" s="541"/>
    </row>
    <row r="622" spans="1:16" ht="18.75">
      <c r="B622" s="596"/>
      <c r="C622" s="595" t="s">
        <v>291</v>
      </c>
      <c r="D622" s="564"/>
      <c r="E622" s="541"/>
      <c r="F622" s="541"/>
      <c r="G622" s="541"/>
      <c r="H622" s="1245"/>
      <c r="I622" s="1245"/>
      <c r="J622" s="1246"/>
      <c r="K622" s="1245"/>
      <c r="L622" s="1245"/>
      <c r="M622" s="1245"/>
      <c r="N622" s="1245"/>
      <c r="O622" s="541"/>
    </row>
    <row r="623" spans="1:16" ht="15.75" thickBot="1">
      <c r="B623" s="332"/>
      <c r="C623" s="398"/>
      <c r="D623" s="564"/>
      <c r="E623" s="541"/>
      <c r="F623" s="541"/>
      <c r="G623" s="541"/>
      <c r="H623" s="1245"/>
      <c r="I623" s="1245"/>
      <c r="J623" s="1246"/>
      <c r="K623" s="1245"/>
      <c r="L623" s="1245"/>
      <c r="M623" s="1245"/>
      <c r="N623" s="1245"/>
      <c r="O623" s="541"/>
    </row>
    <row r="624" spans="1:16" ht="15.75">
      <c r="B624" s="332"/>
      <c r="C624" s="597" t="s">
        <v>292</v>
      </c>
      <c r="D624" s="564"/>
      <c r="E624" s="541"/>
      <c r="F624" s="541"/>
      <c r="G624" s="1247"/>
      <c r="H624" s="541" t="s">
        <v>271</v>
      </c>
      <c r="I624" s="541"/>
      <c r="J624" s="589"/>
      <c r="K624" s="679" t="s">
        <v>296</v>
      </c>
      <c r="L624" s="680"/>
      <c r="M624" s="681"/>
      <c r="N624" s="1248">
        <f>VLOOKUP(I630,C637:O696,5)</f>
        <v>3808292.434809329</v>
      </c>
      <c r="O624" s="541"/>
    </row>
    <row r="625" spans="1:15" ht="15.75">
      <c r="B625" s="332"/>
      <c r="C625" s="597"/>
      <c r="D625" s="564"/>
      <c r="E625" s="541"/>
      <c r="F625" s="541"/>
      <c r="G625" s="541"/>
      <c r="H625" s="1249"/>
      <c r="I625" s="1249"/>
      <c r="J625" s="1250"/>
      <c r="K625" s="684" t="s">
        <v>297</v>
      </c>
      <c r="L625" s="1251"/>
      <c r="M625" s="589"/>
      <c r="N625" s="1252">
        <f>VLOOKUP(I630,C637:O696,6)</f>
        <v>3808292.434809329</v>
      </c>
      <c r="O625" s="541"/>
    </row>
    <row r="626" spans="1:15" ht="13.5" thickBot="1">
      <c r="B626" s="332"/>
      <c r="C626" s="685" t="s">
        <v>293</v>
      </c>
      <c r="D626" s="1544" t="s">
        <v>980</v>
      </c>
      <c r="E626" s="1544"/>
      <c r="F626" s="1544"/>
      <c r="G626" s="1544"/>
      <c r="H626" s="1544"/>
      <c r="I626" s="1245"/>
      <c r="J626" s="1246"/>
      <c r="K626" s="1253" t="s">
        <v>450</v>
      </c>
      <c r="L626" s="1254"/>
      <c r="M626" s="1254"/>
      <c r="N626" s="1255">
        <f>+N625-N624</f>
        <v>0</v>
      </c>
      <c r="O626" s="541"/>
    </row>
    <row r="627" spans="1:15">
      <c r="B627" s="332"/>
      <c r="C627" s="687"/>
      <c r="D627" s="688"/>
      <c r="E627" s="672"/>
      <c r="F627" s="672"/>
      <c r="G627" s="689"/>
      <c r="H627" s="1245"/>
      <c r="I627" s="1245"/>
      <c r="J627" s="1246"/>
      <c r="K627" s="1245"/>
      <c r="L627" s="1245"/>
      <c r="M627" s="1245"/>
      <c r="N627" s="1245"/>
      <c r="O627" s="541"/>
    </row>
    <row r="628" spans="1:15" ht="13.5" thickBot="1">
      <c r="B628" s="332"/>
      <c r="C628" s="690"/>
      <c r="D628" s="691"/>
      <c r="E628" s="689"/>
      <c r="F628" s="689"/>
      <c r="G628" s="689"/>
      <c r="H628" s="689"/>
      <c r="I628" s="689"/>
      <c r="J628" s="692"/>
      <c r="K628" s="689"/>
      <c r="L628" s="689"/>
      <c r="M628" s="689"/>
      <c r="N628" s="689"/>
      <c r="O628" s="577"/>
    </row>
    <row r="629" spans="1:15" ht="13.5" thickBot="1">
      <c r="B629" s="332"/>
      <c r="C629" s="694" t="s">
        <v>294</v>
      </c>
      <c r="D629" s="695"/>
      <c r="E629" s="695"/>
      <c r="F629" s="695"/>
      <c r="G629" s="695"/>
      <c r="H629" s="695"/>
      <c r="I629" s="696"/>
      <c r="J629" s="697"/>
      <c r="K629" s="541"/>
      <c r="L629" s="541"/>
      <c r="M629" s="541"/>
      <c r="N629" s="541"/>
      <c r="O629" s="698"/>
    </row>
    <row r="630" spans="1:15" ht="15">
      <c r="C630" s="700" t="s">
        <v>272</v>
      </c>
      <c r="D630" s="1256">
        <v>31941425</v>
      </c>
      <c r="E630" s="656" t="s">
        <v>273</v>
      </c>
      <c r="G630" s="701"/>
      <c r="H630" s="701"/>
      <c r="I630" s="702">
        <v>2018</v>
      </c>
      <c r="J630" s="587"/>
      <c r="K630" s="1542" t="s">
        <v>459</v>
      </c>
      <c r="L630" s="1542"/>
      <c r="M630" s="1542"/>
      <c r="N630" s="1542"/>
      <c r="O630" s="1542"/>
    </row>
    <row r="631" spans="1:15">
      <c r="C631" s="700" t="s">
        <v>275</v>
      </c>
      <c r="D631" s="872">
        <v>2016</v>
      </c>
      <c r="E631" s="700" t="s">
        <v>276</v>
      </c>
      <c r="F631" s="701"/>
      <c r="H631" s="332"/>
      <c r="I631" s="875">
        <f>IF(G624="",0,$F$15)</f>
        <v>0</v>
      </c>
      <c r="J631" s="703"/>
      <c r="K631" s="1246" t="s">
        <v>459</v>
      </c>
    </row>
    <row r="632" spans="1:15">
      <c r="C632" s="700" t="s">
        <v>277</v>
      </c>
      <c r="D632" s="1257">
        <v>11</v>
      </c>
      <c r="E632" s="700" t="s">
        <v>278</v>
      </c>
      <c r="F632" s="701"/>
      <c r="H632" s="332"/>
      <c r="I632" s="704">
        <f>$G$70</f>
        <v>0.1009634410531228</v>
      </c>
      <c r="J632" s="705"/>
      <c r="K632" s="332" t="str">
        <f>"          INPUT PROJECTED ARR (WITH &amp; WITHOUT INCENTIVES) FROM EACH PRIOR YEAR"</f>
        <v xml:space="preserve">          INPUT PROJECTED ARR (WITH &amp; WITHOUT INCENTIVES) FROM EACH PRIOR YEAR</v>
      </c>
    </row>
    <row r="633" spans="1:15">
      <c r="C633" s="700" t="s">
        <v>279</v>
      </c>
      <c r="D633" s="706">
        <f>G$79</f>
        <v>46</v>
      </c>
      <c r="E633" s="700" t="s">
        <v>280</v>
      </c>
      <c r="F633" s="701"/>
      <c r="H633" s="332"/>
      <c r="I633" s="704">
        <f>IF(G624="",I632,$G$67)</f>
        <v>0.1009634410531228</v>
      </c>
      <c r="J633" s="707"/>
      <c r="K633" s="332" t="s">
        <v>357</v>
      </c>
    </row>
    <row r="634" spans="1:15" ht="13.5" thickBot="1">
      <c r="C634" s="700" t="s">
        <v>281</v>
      </c>
      <c r="D634" s="874" t="s">
        <v>974</v>
      </c>
      <c r="E634" s="708" t="s">
        <v>282</v>
      </c>
      <c r="F634" s="709"/>
      <c r="G634" s="710"/>
      <c r="H634" s="710"/>
      <c r="I634" s="1255">
        <f>IF(D630=0,0,D630/D633)</f>
        <v>694378.80434782605</v>
      </c>
      <c r="J634" s="1246"/>
      <c r="K634" s="1246" t="s">
        <v>363</v>
      </c>
      <c r="L634" s="1246"/>
      <c r="M634" s="1246"/>
      <c r="N634" s="1246"/>
      <c r="O634" s="589"/>
    </row>
    <row r="635" spans="1:15" ht="51">
      <c r="A635" s="528"/>
      <c r="B635" s="528"/>
      <c r="C635" s="711" t="s">
        <v>272</v>
      </c>
      <c r="D635" s="1258" t="s">
        <v>283</v>
      </c>
      <c r="E635" s="1259" t="s">
        <v>284</v>
      </c>
      <c r="F635" s="1258" t="s">
        <v>285</v>
      </c>
      <c r="G635" s="1259" t="s">
        <v>356</v>
      </c>
      <c r="H635" s="1260" t="s">
        <v>356</v>
      </c>
      <c r="I635" s="711" t="s">
        <v>295</v>
      </c>
      <c r="J635" s="715"/>
      <c r="K635" s="1259" t="s">
        <v>365</v>
      </c>
      <c r="L635" s="1261"/>
      <c r="M635" s="1259" t="s">
        <v>365</v>
      </c>
      <c r="N635" s="1261"/>
      <c r="O635" s="1261"/>
    </row>
    <row r="636" spans="1:15" ht="13.5" thickBot="1">
      <c r="B636" s="332"/>
      <c r="C636" s="717" t="s">
        <v>177</v>
      </c>
      <c r="D636" s="718" t="s">
        <v>178</v>
      </c>
      <c r="E636" s="717" t="s">
        <v>37</v>
      </c>
      <c r="F636" s="718" t="s">
        <v>178</v>
      </c>
      <c r="G636" s="1262" t="s">
        <v>298</v>
      </c>
      <c r="H636" s="1263" t="s">
        <v>300</v>
      </c>
      <c r="I636" s="721" t="s">
        <v>389</v>
      </c>
      <c r="J636" s="722"/>
      <c r="K636" s="1262" t="s">
        <v>287</v>
      </c>
      <c r="L636" s="1291"/>
      <c r="M636" s="1262" t="s">
        <v>300</v>
      </c>
      <c r="N636" s="1264"/>
      <c r="O636" s="1264"/>
    </row>
    <row r="637" spans="1:15">
      <c r="B637" s="332"/>
      <c r="C637" s="723">
        <f>IF(D631= "","-",D631)</f>
        <v>2016</v>
      </c>
      <c r="D637" s="674">
        <f>+D630</f>
        <v>31941425</v>
      </c>
      <c r="E637" s="1265">
        <f>+I634/12*(12-D632)</f>
        <v>57864.90036231884</v>
      </c>
      <c r="F637" s="674">
        <f t="shared" ref="F637:F696" si="36">+D637-E637</f>
        <v>31883560.09963768</v>
      </c>
      <c r="G637" s="1266">
        <f>+$I$632*((D637+F637)/2)+E637</f>
        <v>3279859.960774174</v>
      </c>
      <c r="H637" s="1267">
        <f>+$I$633*((D637+F637)/2)+E637</f>
        <v>3279859.960774174</v>
      </c>
      <c r="I637" s="727">
        <f t="shared" ref="I637:I696" si="37">+H637-G637</f>
        <v>0</v>
      </c>
      <c r="J637" s="1282"/>
      <c r="K637" s="1283">
        <v>13022465</v>
      </c>
      <c r="L637" s="1286"/>
      <c r="M637" s="1283">
        <v>13022465</v>
      </c>
      <c r="N637" s="1285"/>
      <c r="O637" s="729"/>
    </row>
    <row r="638" spans="1:15">
      <c r="B638" s="332"/>
      <c r="C638" s="723">
        <f>IF(D631="","-",+C637+1)</f>
        <v>2017</v>
      </c>
      <c r="D638" s="674">
        <f t="shared" ref="D638:D696" si="38">F637</f>
        <v>31883560.09963768</v>
      </c>
      <c r="E638" s="730">
        <f>IF(D638&gt;$I$634,$I$634,D638)</f>
        <v>694378.80434782605</v>
      </c>
      <c r="F638" s="674">
        <f t="shared" si="36"/>
        <v>31189181.295289855</v>
      </c>
      <c r="G638" s="1265">
        <f t="shared" ref="G638:G696" si="39">+$I$632*((D638+F638)/2)+E638</f>
        <v>3878399.308290638</v>
      </c>
      <c r="H638" s="1268">
        <f t="shared" ref="H638:H696" si="40">+$I$633*((D638+F638)/2)+E638</f>
        <v>3878399.308290638</v>
      </c>
      <c r="I638" s="727">
        <f t="shared" si="37"/>
        <v>0</v>
      </c>
      <c r="J638" s="727"/>
      <c r="K638" s="877">
        <v>3514741.613096768</v>
      </c>
      <c r="L638" s="733"/>
      <c r="M638" s="877">
        <v>3514741.613096768</v>
      </c>
      <c r="N638" s="733"/>
      <c r="O638" s="733"/>
    </row>
    <row r="639" spans="1:15">
      <c r="B639" s="332"/>
      <c r="C639" s="1269">
        <f>IF(D631="","-",+C638+1)</f>
        <v>2018</v>
      </c>
      <c r="D639" s="1270">
        <f t="shared" si="38"/>
        <v>31189181.295289855</v>
      </c>
      <c r="E639" s="1271">
        <f t="shared" ref="E639:E696" si="41">IF(D639&gt;$I$634,$I$634,D639)</f>
        <v>694378.80434782605</v>
      </c>
      <c r="F639" s="1270">
        <f t="shared" si="36"/>
        <v>30494802.490942031</v>
      </c>
      <c r="G639" s="1272">
        <f t="shared" si="39"/>
        <v>3808292.434809329</v>
      </c>
      <c r="H639" s="1273">
        <f t="shared" si="40"/>
        <v>3808292.434809329</v>
      </c>
      <c r="I639" s="1279">
        <f t="shared" si="37"/>
        <v>0</v>
      </c>
      <c r="J639" s="727"/>
      <c r="K639" s="1290"/>
      <c r="L639" s="1278"/>
      <c r="M639" s="1290"/>
      <c r="N639" s="733"/>
      <c r="O639" s="733"/>
    </row>
    <row r="640" spans="1:15">
      <c r="B640" s="332"/>
      <c r="C640" s="723">
        <f>IF(D631="","-",+C639+1)</f>
        <v>2019</v>
      </c>
      <c r="D640" s="674">
        <f t="shared" si="38"/>
        <v>30494802.490942031</v>
      </c>
      <c r="E640" s="730">
        <f t="shared" si="41"/>
        <v>694378.80434782605</v>
      </c>
      <c r="F640" s="674">
        <f t="shared" si="36"/>
        <v>29800423.686594207</v>
      </c>
      <c r="G640" s="1265">
        <f t="shared" si="39"/>
        <v>3738185.5613280195</v>
      </c>
      <c r="H640" s="1268">
        <f t="shared" si="40"/>
        <v>3738185.5613280195</v>
      </c>
      <c r="I640" s="727">
        <f t="shared" si="37"/>
        <v>0</v>
      </c>
      <c r="J640" s="727"/>
      <c r="K640" s="877"/>
      <c r="L640" s="733"/>
      <c r="M640" s="877"/>
      <c r="N640" s="733"/>
      <c r="O640" s="733"/>
    </row>
    <row r="641" spans="2:15">
      <c r="B641" s="332"/>
      <c r="C641" s="723">
        <f>IF(D631="","-",+C640+1)</f>
        <v>2020</v>
      </c>
      <c r="D641" s="674">
        <f t="shared" si="38"/>
        <v>29800423.686594207</v>
      </c>
      <c r="E641" s="730">
        <f t="shared" si="41"/>
        <v>694378.80434782605</v>
      </c>
      <c r="F641" s="674">
        <f t="shared" si="36"/>
        <v>29106044.882246383</v>
      </c>
      <c r="G641" s="1265">
        <f t="shared" si="39"/>
        <v>3668078.6878467104</v>
      </c>
      <c r="H641" s="1268">
        <f t="shared" si="40"/>
        <v>3668078.6878467104</v>
      </c>
      <c r="I641" s="727">
        <f t="shared" si="37"/>
        <v>0</v>
      </c>
      <c r="J641" s="727"/>
      <c r="K641" s="877"/>
      <c r="L641" s="733"/>
      <c r="M641" s="877"/>
      <c r="N641" s="733"/>
      <c r="O641" s="733"/>
    </row>
    <row r="642" spans="2:15">
      <c r="B642" s="332"/>
      <c r="C642" s="723">
        <f>IF(D631="","-",+C641+1)</f>
        <v>2021</v>
      </c>
      <c r="D642" s="674">
        <f t="shared" si="38"/>
        <v>29106044.882246383</v>
      </c>
      <c r="E642" s="730">
        <f t="shared" si="41"/>
        <v>694378.80434782605</v>
      </c>
      <c r="F642" s="674">
        <f t="shared" si="36"/>
        <v>28411666.077898558</v>
      </c>
      <c r="G642" s="1265">
        <f t="shared" si="39"/>
        <v>3597971.8143654005</v>
      </c>
      <c r="H642" s="1268">
        <f t="shared" si="40"/>
        <v>3597971.8143654005</v>
      </c>
      <c r="I642" s="727">
        <f t="shared" si="37"/>
        <v>0</v>
      </c>
      <c r="J642" s="727"/>
      <c r="K642" s="877"/>
      <c r="L642" s="733"/>
      <c r="M642" s="877"/>
      <c r="N642" s="733"/>
      <c r="O642" s="733"/>
    </row>
    <row r="643" spans="2:15">
      <c r="B643" s="332"/>
      <c r="C643" s="723">
        <f>IF(D631="","-",+C642+1)</f>
        <v>2022</v>
      </c>
      <c r="D643" s="674">
        <f t="shared" si="38"/>
        <v>28411666.077898558</v>
      </c>
      <c r="E643" s="730">
        <f t="shared" si="41"/>
        <v>694378.80434782605</v>
      </c>
      <c r="F643" s="674">
        <f t="shared" si="36"/>
        <v>27717287.273550734</v>
      </c>
      <c r="G643" s="1265">
        <f t="shared" si="39"/>
        <v>3527864.9408840914</v>
      </c>
      <c r="H643" s="1268">
        <f t="shared" si="40"/>
        <v>3527864.9408840914</v>
      </c>
      <c r="I643" s="727">
        <f t="shared" si="37"/>
        <v>0</v>
      </c>
      <c r="J643" s="727"/>
      <c r="K643" s="877"/>
      <c r="L643" s="733"/>
      <c r="M643" s="877"/>
      <c r="N643" s="733"/>
      <c r="O643" s="733"/>
    </row>
    <row r="644" spans="2:15">
      <c r="B644" s="332"/>
      <c r="C644" s="723">
        <f>IF(D631="","-",+C643+1)</f>
        <v>2023</v>
      </c>
      <c r="D644" s="674">
        <f t="shared" si="38"/>
        <v>27717287.273550734</v>
      </c>
      <c r="E644" s="730">
        <f t="shared" si="41"/>
        <v>694378.80434782605</v>
      </c>
      <c r="F644" s="674">
        <f t="shared" si="36"/>
        <v>27022908.46920291</v>
      </c>
      <c r="G644" s="1265">
        <f t="shared" si="39"/>
        <v>3457758.0674027815</v>
      </c>
      <c r="H644" s="1268">
        <f t="shared" si="40"/>
        <v>3457758.0674027815</v>
      </c>
      <c r="I644" s="727">
        <f t="shared" si="37"/>
        <v>0</v>
      </c>
      <c r="J644" s="727"/>
      <c r="K644" s="877"/>
      <c r="L644" s="733"/>
      <c r="M644" s="877"/>
      <c r="N644" s="733"/>
      <c r="O644" s="733"/>
    </row>
    <row r="645" spans="2:15">
      <c r="B645" s="332"/>
      <c r="C645" s="723">
        <f>IF(D631="","-",+C644+1)</f>
        <v>2024</v>
      </c>
      <c r="D645" s="674">
        <f t="shared" si="38"/>
        <v>27022908.46920291</v>
      </c>
      <c r="E645" s="730">
        <f t="shared" si="41"/>
        <v>694378.80434782605</v>
      </c>
      <c r="F645" s="674">
        <f t="shared" si="36"/>
        <v>26328529.664855085</v>
      </c>
      <c r="G645" s="1265">
        <f t="shared" si="39"/>
        <v>3387651.1939214724</v>
      </c>
      <c r="H645" s="1268">
        <f t="shared" si="40"/>
        <v>3387651.1939214724</v>
      </c>
      <c r="I645" s="727">
        <f t="shared" si="37"/>
        <v>0</v>
      </c>
      <c r="J645" s="727"/>
      <c r="K645" s="877"/>
      <c r="L645" s="733"/>
      <c r="M645" s="877"/>
      <c r="N645" s="733"/>
      <c r="O645" s="733"/>
    </row>
    <row r="646" spans="2:15">
      <c r="B646" s="332"/>
      <c r="C646" s="723">
        <f>IF(D631="","-",+C645+1)</f>
        <v>2025</v>
      </c>
      <c r="D646" s="674">
        <f t="shared" si="38"/>
        <v>26328529.664855085</v>
      </c>
      <c r="E646" s="730">
        <f t="shared" si="41"/>
        <v>694378.80434782605</v>
      </c>
      <c r="F646" s="674">
        <f t="shared" si="36"/>
        <v>25634150.860507261</v>
      </c>
      <c r="G646" s="1265">
        <f t="shared" si="39"/>
        <v>3317544.3204401624</v>
      </c>
      <c r="H646" s="1268">
        <f t="shared" si="40"/>
        <v>3317544.3204401624</v>
      </c>
      <c r="I646" s="727">
        <f t="shared" si="37"/>
        <v>0</v>
      </c>
      <c r="J646" s="727"/>
      <c r="K646" s="877"/>
      <c r="L646" s="733"/>
      <c r="M646" s="877"/>
      <c r="N646" s="733"/>
      <c r="O646" s="733"/>
    </row>
    <row r="647" spans="2:15">
      <c r="B647" s="332"/>
      <c r="C647" s="723">
        <f>IF(D631="","-",+C646+1)</f>
        <v>2026</v>
      </c>
      <c r="D647" s="674">
        <f t="shared" si="38"/>
        <v>25634150.860507261</v>
      </c>
      <c r="E647" s="730">
        <f t="shared" si="41"/>
        <v>694378.80434782605</v>
      </c>
      <c r="F647" s="674">
        <f t="shared" si="36"/>
        <v>24939772.056159437</v>
      </c>
      <c r="G647" s="1265">
        <f t="shared" si="39"/>
        <v>3247437.4469588534</v>
      </c>
      <c r="H647" s="1268">
        <f t="shared" si="40"/>
        <v>3247437.4469588534</v>
      </c>
      <c r="I647" s="727">
        <f t="shared" si="37"/>
        <v>0</v>
      </c>
      <c r="J647" s="727"/>
      <c r="K647" s="877"/>
      <c r="L647" s="733"/>
      <c r="M647" s="877"/>
      <c r="N647" s="733"/>
      <c r="O647" s="733"/>
    </row>
    <row r="648" spans="2:15">
      <c r="B648" s="332"/>
      <c r="C648" s="723">
        <f>IF(D631="","-",+C647+1)</f>
        <v>2027</v>
      </c>
      <c r="D648" s="674">
        <f t="shared" si="38"/>
        <v>24939772.056159437</v>
      </c>
      <c r="E648" s="730">
        <f t="shared" si="41"/>
        <v>694378.80434782605</v>
      </c>
      <c r="F648" s="674">
        <f t="shared" si="36"/>
        <v>24245393.251811612</v>
      </c>
      <c r="G648" s="1265">
        <f t="shared" si="39"/>
        <v>3177330.5734775439</v>
      </c>
      <c r="H648" s="1268">
        <f t="shared" si="40"/>
        <v>3177330.5734775439</v>
      </c>
      <c r="I648" s="727">
        <f t="shared" si="37"/>
        <v>0</v>
      </c>
      <c r="J648" s="727"/>
      <c r="K648" s="877"/>
      <c r="L648" s="733"/>
      <c r="M648" s="877"/>
      <c r="N648" s="733"/>
      <c r="O648" s="733"/>
    </row>
    <row r="649" spans="2:15">
      <c r="B649" s="332"/>
      <c r="C649" s="723">
        <f>IF(D631="","-",+C648+1)</f>
        <v>2028</v>
      </c>
      <c r="D649" s="674">
        <f t="shared" si="38"/>
        <v>24245393.251811612</v>
      </c>
      <c r="E649" s="730">
        <f t="shared" si="41"/>
        <v>694378.80434782605</v>
      </c>
      <c r="F649" s="674">
        <f t="shared" si="36"/>
        <v>23551014.447463788</v>
      </c>
      <c r="G649" s="1265">
        <f t="shared" si="39"/>
        <v>3107223.6999962348</v>
      </c>
      <c r="H649" s="1268">
        <f t="shared" si="40"/>
        <v>3107223.6999962348</v>
      </c>
      <c r="I649" s="727">
        <f t="shared" si="37"/>
        <v>0</v>
      </c>
      <c r="J649" s="727"/>
      <c r="K649" s="877"/>
      <c r="L649" s="733"/>
      <c r="M649" s="877"/>
      <c r="N649" s="734"/>
      <c r="O649" s="733"/>
    </row>
    <row r="650" spans="2:15">
      <c r="B650" s="332"/>
      <c r="C650" s="723">
        <f>IF(D631="","-",+C649+1)</f>
        <v>2029</v>
      </c>
      <c r="D650" s="674">
        <f t="shared" si="38"/>
        <v>23551014.447463788</v>
      </c>
      <c r="E650" s="730">
        <f t="shared" si="41"/>
        <v>694378.80434782605</v>
      </c>
      <c r="F650" s="674">
        <f t="shared" si="36"/>
        <v>22856635.643115964</v>
      </c>
      <c r="G650" s="1265">
        <f t="shared" si="39"/>
        <v>3037116.8265149249</v>
      </c>
      <c r="H650" s="1268">
        <f t="shared" si="40"/>
        <v>3037116.8265149249</v>
      </c>
      <c r="I650" s="727">
        <f t="shared" si="37"/>
        <v>0</v>
      </c>
      <c r="J650" s="727"/>
      <c r="K650" s="877"/>
      <c r="L650" s="733"/>
      <c r="M650" s="877"/>
      <c r="N650" s="733"/>
      <c r="O650" s="733"/>
    </row>
    <row r="651" spans="2:15">
      <c r="B651" s="332"/>
      <c r="C651" s="723">
        <f>IF(D631="","-",+C650+1)</f>
        <v>2030</v>
      </c>
      <c r="D651" s="674">
        <f t="shared" si="38"/>
        <v>22856635.643115964</v>
      </c>
      <c r="E651" s="730">
        <f t="shared" si="41"/>
        <v>694378.80434782605</v>
      </c>
      <c r="F651" s="674">
        <f t="shared" si="36"/>
        <v>22162256.838768139</v>
      </c>
      <c r="G651" s="1265">
        <f t="shared" si="39"/>
        <v>2967009.9530336158</v>
      </c>
      <c r="H651" s="1268">
        <f t="shared" si="40"/>
        <v>2967009.9530336158</v>
      </c>
      <c r="I651" s="727">
        <f t="shared" si="37"/>
        <v>0</v>
      </c>
      <c r="J651" s="727"/>
      <c r="K651" s="877"/>
      <c r="L651" s="733"/>
      <c r="M651" s="877"/>
      <c r="N651" s="733"/>
      <c r="O651" s="733"/>
    </row>
    <row r="652" spans="2:15">
      <c r="B652" s="332"/>
      <c r="C652" s="723">
        <f>IF(D631="","-",+C651+1)</f>
        <v>2031</v>
      </c>
      <c r="D652" s="674">
        <f t="shared" si="38"/>
        <v>22162256.838768139</v>
      </c>
      <c r="E652" s="730">
        <f t="shared" si="41"/>
        <v>694378.80434782605</v>
      </c>
      <c r="F652" s="674">
        <f t="shared" si="36"/>
        <v>21467878.034420315</v>
      </c>
      <c r="G652" s="1265">
        <f t="shared" si="39"/>
        <v>2896903.0795523059</v>
      </c>
      <c r="H652" s="1268">
        <f t="shared" si="40"/>
        <v>2896903.0795523059</v>
      </c>
      <c r="I652" s="727">
        <f t="shared" si="37"/>
        <v>0</v>
      </c>
      <c r="J652" s="727"/>
      <c r="K652" s="877"/>
      <c r="L652" s="733"/>
      <c r="M652" s="877"/>
      <c r="N652" s="733"/>
      <c r="O652" s="733"/>
    </row>
    <row r="653" spans="2:15">
      <c r="B653" s="332"/>
      <c r="C653" s="723">
        <f>IF(D631="","-",+C652+1)</f>
        <v>2032</v>
      </c>
      <c r="D653" s="674">
        <f t="shared" si="38"/>
        <v>21467878.034420315</v>
      </c>
      <c r="E653" s="730">
        <f t="shared" si="41"/>
        <v>694378.80434782605</v>
      </c>
      <c r="F653" s="674">
        <f t="shared" si="36"/>
        <v>20773499.230072491</v>
      </c>
      <c r="G653" s="1265">
        <f t="shared" si="39"/>
        <v>2826796.2060709968</v>
      </c>
      <c r="H653" s="1268">
        <f t="shared" si="40"/>
        <v>2826796.2060709968</v>
      </c>
      <c r="I653" s="727">
        <f t="shared" si="37"/>
        <v>0</v>
      </c>
      <c r="J653" s="727"/>
      <c r="K653" s="877"/>
      <c r="L653" s="733"/>
      <c r="M653" s="877"/>
      <c r="N653" s="733"/>
      <c r="O653" s="733"/>
    </row>
    <row r="654" spans="2:15">
      <c r="B654" s="332"/>
      <c r="C654" s="723">
        <f>IF(D631="","-",+C653+1)</f>
        <v>2033</v>
      </c>
      <c r="D654" s="674">
        <f t="shared" si="38"/>
        <v>20773499.230072491</v>
      </c>
      <c r="E654" s="730">
        <f t="shared" si="41"/>
        <v>694378.80434782605</v>
      </c>
      <c r="F654" s="674">
        <f t="shared" si="36"/>
        <v>20079120.425724667</v>
      </c>
      <c r="G654" s="1265">
        <f t="shared" si="39"/>
        <v>2756689.3325896868</v>
      </c>
      <c r="H654" s="1268">
        <f t="shared" si="40"/>
        <v>2756689.3325896868</v>
      </c>
      <c r="I654" s="727">
        <f t="shared" si="37"/>
        <v>0</v>
      </c>
      <c r="J654" s="727"/>
      <c r="K654" s="877"/>
      <c r="L654" s="733"/>
      <c r="M654" s="877"/>
      <c r="N654" s="733"/>
      <c r="O654" s="733"/>
    </row>
    <row r="655" spans="2:15">
      <c r="B655" s="332"/>
      <c r="C655" s="723">
        <f>IF(D631="","-",+C654+1)</f>
        <v>2034</v>
      </c>
      <c r="D655" s="674">
        <f t="shared" si="38"/>
        <v>20079120.425724667</v>
      </c>
      <c r="E655" s="730">
        <f t="shared" si="41"/>
        <v>694378.80434782605</v>
      </c>
      <c r="F655" s="674">
        <f t="shared" si="36"/>
        <v>19384741.621376842</v>
      </c>
      <c r="G655" s="1265">
        <f t="shared" si="39"/>
        <v>2686582.4591083778</v>
      </c>
      <c r="H655" s="1268">
        <f t="shared" si="40"/>
        <v>2686582.4591083778</v>
      </c>
      <c r="I655" s="727">
        <f t="shared" si="37"/>
        <v>0</v>
      </c>
      <c r="J655" s="727"/>
      <c r="K655" s="877"/>
      <c r="L655" s="733"/>
      <c r="M655" s="877"/>
      <c r="N655" s="733"/>
      <c r="O655" s="733"/>
    </row>
    <row r="656" spans="2:15">
      <c r="B656" s="332"/>
      <c r="C656" s="723">
        <f>IF(D631="","-",+C655+1)</f>
        <v>2035</v>
      </c>
      <c r="D656" s="674">
        <f t="shared" si="38"/>
        <v>19384741.621376842</v>
      </c>
      <c r="E656" s="730">
        <f t="shared" si="41"/>
        <v>694378.80434782605</v>
      </c>
      <c r="F656" s="674">
        <f t="shared" si="36"/>
        <v>18690362.817029018</v>
      </c>
      <c r="G656" s="1265">
        <f t="shared" si="39"/>
        <v>2616475.5856270678</v>
      </c>
      <c r="H656" s="1268">
        <f t="shared" si="40"/>
        <v>2616475.5856270678</v>
      </c>
      <c r="I656" s="727">
        <f t="shared" si="37"/>
        <v>0</v>
      </c>
      <c r="J656" s="727"/>
      <c r="K656" s="877"/>
      <c r="L656" s="733"/>
      <c r="M656" s="877"/>
      <c r="N656" s="733"/>
      <c r="O656" s="733"/>
    </row>
    <row r="657" spans="2:15">
      <c r="B657" s="332"/>
      <c r="C657" s="723">
        <f>IF(D631="","-",+C656+1)</f>
        <v>2036</v>
      </c>
      <c r="D657" s="674">
        <f t="shared" si="38"/>
        <v>18690362.817029018</v>
      </c>
      <c r="E657" s="730">
        <f t="shared" si="41"/>
        <v>694378.80434782605</v>
      </c>
      <c r="F657" s="674">
        <f t="shared" si="36"/>
        <v>17995984.012681194</v>
      </c>
      <c r="G657" s="1265">
        <f t="shared" si="39"/>
        <v>2546368.7121457588</v>
      </c>
      <c r="H657" s="1268">
        <f t="shared" si="40"/>
        <v>2546368.7121457588</v>
      </c>
      <c r="I657" s="727">
        <f t="shared" si="37"/>
        <v>0</v>
      </c>
      <c r="J657" s="727"/>
      <c r="K657" s="877"/>
      <c r="L657" s="733"/>
      <c r="M657" s="877"/>
      <c r="N657" s="733"/>
      <c r="O657" s="733"/>
    </row>
    <row r="658" spans="2:15">
      <c r="B658" s="332"/>
      <c r="C658" s="723">
        <f>IF(D631="","-",+C657+1)</f>
        <v>2037</v>
      </c>
      <c r="D658" s="674">
        <f t="shared" si="38"/>
        <v>17995984.012681194</v>
      </c>
      <c r="E658" s="730">
        <f t="shared" si="41"/>
        <v>694378.80434782605</v>
      </c>
      <c r="F658" s="674">
        <f t="shared" si="36"/>
        <v>17301605.208333369</v>
      </c>
      <c r="G658" s="1265">
        <f t="shared" si="39"/>
        <v>2476261.8386644493</v>
      </c>
      <c r="H658" s="1268">
        <f t="shared" si="40"/>
        <v>2476261.8386644493</v>
      </c>
      <c r="I658" s="727">
        <f t="shared" si="37"/>
        <v>0</v>
      </c>
      <c r="J658" s="727"/>
      <c r="K658" s="877"/>
      <c r="L658" s="733"/>
      <c r="M658" s="877"/>
      <c r="N658" s="733"/>
      <c r="O658" s="733"/>
    </row>
    <row r="659" spans="2:15">
      <c r="B659" s="332"/>
      <c r="C659" s="723">
        <f>IF(D631="","-",+C658+1)</f>
        <v>2038</v>
      </c>
      <c r="D659" s="674">
        <f t="shared" si="38"/>
        <v>17301605.208333369</v>
      </c>
      <c r="E659" s="730">
        <f t="shared" si="41"/>
        <v>694378.80434782605</v>
      </c>
      <c r="F659" s="674">
        <f t="shared" si="36"/>
        <v>16607226.403985543</v>
      </c>
      <c r="G659" s="1265">
        <f t="shared" si="39"/>
        <v>2406154.9651831398</v>
      </c>
      <c r="H659" s="1268">
        <f t="shared" si="40"/>
        <v>2406154.9651831398</v>
      </c>
      <c r="I659" s="727">
        <f t="shared" si="37"/>
        <v>0</v>
      </c>
      <c r="J659" s="727"/>
      <c r="K659" s="877"/>
      <c r="L659" s="733"/>
      <c r="M659" s="877"/>
      <c r="N659" s="733"/>
      <c r="O659" s="733"/>
    </row>
    <row r="660" spans="2:15">
      <c r="B660" s="332"/>
      <c r="C660" s="723">
        <f>IF(D631="","-",+C659+1)</f>
        <v>2039</v>
      </c>
      <c r="D660" s="674">
        <f t="shared" si="38"/>
        <v>16607226.403985543</v>
      </c>
      <c r="E660" s="730">
        <f t="shared" si="41"/>
        <v>694378.80434782605</v>
      </c>
      <c r="F660" s="674">
        <f t="shared" si="36"/>
        <v>15912847.599637717</v>
      </c>
      <c r="G660" s="1265">
        <f t="shared" si="39"/>
        <v>2336048.0917018303</v>
      </c>
      <c r="H660" s="1268">
        <f t="shared" si="40"/>
        <v>2336048.0917018303</v>
      </c>
      <c r="I660" s="727">
        <f t="shared" si="37"/>
        <v>0</v>
      </c>
      <c r="J660" s="727"/>
      <c r="K660" s="877"/>
      <c r="L660" s="733"/>
      <c r="M660" s="877"/>
      <c r="N660" s="733"/>
      <c r="O660" s="733"/>
    </row>
    <row r="661" spans="2:15">
      <c r="B661" s="332"/>
      <c r="C661" s="723">
        <f>IF(D631="","-",+C660+1)</f>
        <v>2040</v>
      </c>
      <c r="D661" s="674">
        <f t="shared" si="38"/>
        <v>15912847.599637717</v>
      </c>
      <c r="E661" s="730">
        <f t="shared" si="41"/>
        <v>694378.80434782605</v>
      </c>
      <c r="F661" s="674">
        <f t="shared" si="36"/>
        <v>15218468.795289891</v>
      </c>
      <c r="G661" s="1265">
        <f t="shared" si="39"/>
        <v>2265941.2182205203</v>
      </c>
      <c r="H661" s="1268">
        <f t="shared" si="40"/>
        <v>2265941.2182205203</v>
      </c>
      <c r="I661" s="727">
        <f t="shared" si="37"/>
        <v>0</v>
      </c>
      <c r="J661" s="727"/>
      <c r="K661" s="877"/>
      <c r="L661" s="733"/>
      <c r="M661" s="877"/>
      <c r="N661" s="733"/>
      <c r="O661" s="733"/>
    </row>
    <row r="662" spans="2:15">
      <c r="B662" s="332"/>
      <c r="C662" s="723">
        <f>IF(D631="","-",+C661+1)</f>
        <v>2041</v>
      </c>
      <c r="D662" s="674">
        <f t="shared" si="38"/>
        <v>15218468.795289891</v>
      </c>
      <c r="E662" s="730">
        <f t="shared" si="41"/>
        <v>694378.80434782605</v>
      </c>
      <c r="F662" s="674">
        <f t="shared" si="36"/>
        <v>14524089.990942065</v>
      </c>
      <c r="G662" s="1265">
        <f t="shared" si="39"/>
        <v>2195834.3447392108</v>
      </c>
      <c r="H662" s="1268">
        <f t="shared" si="40"/>
        <v>2195834.3447392108</v>
      </c>
      <c r="I662" s="727">
        <f t="shared" si="37"/>
        <v>0</v>
      </c>
      <c r="J662" s="727"/>
      <c r="K662" s="877"/>
      <c r="L662" s="733"/>
      <c r="M662" s="877"/>
      <c r="N662" s="733"/>
      <c r="O662" s="733"/>
    </row>
    <row r="663" spans="2:15">
      <c r="B663" s="332"/>
      <c r="C663" s="723">
        <f>IF(D631="","-",+C662+1)</f>
        <v>2042</v>
      </c>
      <c r="D663" s="674">
        <f t="shared" si="38"/>
        <v>14524089.990942065</v>
      </c>
      <c r="E663" s="730">
        <f t="shared" si="41"/>
        <v>694378.80434782605</v>
      </c>
      <c r="F663" s="674">
        <f t="shared" si="36"/>
        <v>13829711.186594239</v>
      </c>
      <c r="G663" s="1265">
        <f t="shared" si="39"/>
        <v>2125727.4712579013</v>
      </c>
      <c r="H663" s="1268">
        <f t="shared" si="40"/>
        <v>2125727.4712579013</v>
      </c>
      <c r="I663" s="727">
        <f t="shared" si="37"/>
        <v>0</v>
      </c>
      <c r="J663" s="727"/>
      <c r="K663" s="877"/>
      <c r="L663" s="733"/>
      <c r="M663" s="877"/>
      <c r="N663" s="733"/>
      <c r="O663" s="733"/>
    </row>
    <row r="664" spans="2:15">
      <c r="B664" s="332"/>
      <c r="C664" s="723">
        <f>IF(D631="","-",+C663+1)</f>
        <v>2043</v>
      </c>
      <c r="D664" s="674">
        <f t="shared" si="38"/>
        <v>13829711.186594239</v>
      </c>
      <c r="E664" s="730">
        <f t="shared" si="41"/>
        <v>694378.80434782605</v>
      </c>
      <c r="F664" s="674">
        <f t="shared" si="36"/>
        <v>13135332.382246412</v>
      </c>
      <c r="G664" s="1265">
        <f t="shared" si="39"/>
        <v>2055620.5977765918</v>
      </c>
      <c r="H664" s="1268">
        <f t="shared" si="40"/>
        <v>2055620.5977765918</v>
      </c>
      <c r="I664" s="727">
        <f t="shared" si="37"/>
        <v>0</v>
      </c>
      <c r="J664" s="727"/>
      <c r="K664" s="877"/>
      <c r="L664" s="733"/>
      <c r="M664" s="877"/>
      <c r="N664" s="733"/>
      <c r="O664" s="733"/>
    </row>
    <row r="665" spans="2:15">
      <c r="B665" s="332"/>
      <c r="C665" s="723">
        <f>IF(D631="","-",+C664+1)</f>
        <v>2044</v>
      </c>
      <c r="D665" s="674">
        <f t="shared" si="38"/>
        <v>13135332.382246412</v>
      </c>
      <c r="E665" s="730">
        <f t="shared" si="41"/>
        <v>694378.80434782605</v>
      </c>
      <c r="F665" s="674">
        <f t="shared" si="36"/>
        <v>12440953.577898586</v>
      </c>
      <c r="G665" s="1274">
        <f t="shared" si="39"/>
        <v>1985513.7242952818</v>
      </c>
      <c r="H665" s="1268">
        <f t="shared" si="40"/>
        <v>1985513.7242952818</v>
      </c>
      <c r="I665" s="727">
        <f t="shared" si="37"/>
        <v>0</v>
      </c>
      <c r="J665" s="727"/>
      <c r="K665" s="877"/>
      <c r="L665" s="733"/>
      <c r="M665" s="877"/>
      <c r="N665" s="733"/>
      <c r="O665" s="733"/>
    </row>
    <row r="666" spans="2:15">
      <c r="B666" s="332"/>
      <c r="C666" s="723">
        <f>IF(D631="","-",+C665+1)</f>
        <v>2045</v>
      </c>
      <c r="D666" s="674">
        <f t="shared" si="38"/>
        <v>12440953.577898586</v>
      </c>
      <c r="E666" s="730">
        <f t="shared" si="41"/>
        <v>694378.80434782605</v>
      </c>
      <c r="F666" s="674">
        <f t="shared" si="36"/>
        <v>11746574.77355076</v>
      </c>
      <c r="G666" s="1265">
        <f t="shared" si="39"/>
        <v>1915406.8508139723</v>
      </c>
      <c r="H666" s="1268">
        <f t="shared" si="40"/>
        <v>1915406.8508139723</v>
      </c>
      <c r="I666" s="727">
        <f t="shared" si="37"/>
        <v>0</v>
      </c>
      <c r="J666" s="727"/>
      <c r="K666" s="877"/>
      <c r="L666" s="733"/>
      <c r="M666" s="877"/>
      <c r="N666" s="733"/>
      <c r="O666" s="733"/>
    </row>
    <row r="667" spans="2:15">
      <c r="B667" s="332"/>
      <c r="C667" s="723">
        <f>IF(D631="","-",+C666+1)</f>
        <v>2046</v>
      </c>
      <c r="D667" s="674">
        <f t="shared" si="38"/>
        <v>11746574.77355076</v>
      </c>
      <c r="E667" s="730">
        <f t="shared" si="41"/>
        <v>694378.80434782605</v>
      </c>
      <c r="F667" s="674">
        <f t="shared" si="36"/>
        <v>11052195.969202934</v>
      </c>
      <c r="G667" s="1265">
        <f t="shared" si="39"/>
        <v>1845299.9773326628</v>
      </c>
      <c r="H667" s="1268">
        <f t="shared" si="40"/>
        <v>1845299.9773326628</v>
      </c>
      <c r="I667" s="727">
        <f t="shared" si="37"/>
        <v>0</v>
      </c>
      <c r="J667" s="727"/>
      <c r="K667" s="877"/>
      <c r="L667" s="733"/>
      <c r="M667" s="877"/>
      <c r="N667" s="733"/>
      <c r="O667" s="733"/>
    </row>
    <row r="668" spans="2:15">
      <c r="B668" s="332"/>
      <c r="C668" s="723">
        <f>IF(D631="","-",+C667+1)</f>
        <v>2047</v>
      </c>
      <c r="D668" s="674">
        <f t="shared" si="38"/>
        <v>11052195.969202934</v>
      </c>
      <c r="E668" s="730">
        <f t="shared" si="41"/>
        <v>694378.80434782605</v>
      </c>
      <c r="F668" s="674">
        <f t="shared" si="36"/>
        <v>10357817.164855108</v>
      </c>
      <c r="G668" s="1265">
        <f t="shared" si="39"/>
        <v>1775193.1038513533</v>
      </c>
      <c r="H668" s="1268">
        <f t="shared" si="40"/>
        <v>1775193.1038513533</v>
      </c>
      <c r="I668" s="727">
        <f t="shared" si="37"/>
        <v>0</v>
      </c>
      <c r="J668" s="727"/>
      <c r="K668" s="877"/>
      <c r="L668" s="733"/>
      <c r="M668" s="877"/>
      <c r="N668" s="733"/>
      <c r="O668" s="733"/>
    </row>
    <row r="669" spans="2:15">
      <c r="B669" s="332"/>
      <c r="C669" s="723">
        <f>IF(D631="","-",+C668+1)</f>
        <v>2048</v>
      </c>
      <c r="D669" s="674">
        <f t="shared" si="38"/>
        <v>10357817.164855108</v>
      </c>
      <c r="E669" s="730">
        <f t="shared" si="41"/>
        <v>694378.80434782605</v>
      </c>
      <c r="F669" s="674">
        <f t="shared" si="36"/>
        <v>9663438.3605072815</v>
      </c>
      <c r="G669" s="1265">
        <f t="shared" si="39"/>
        <v>1705086.2303700433</v>
      </c>
      <c r="H669" s="1268">
        <f t="shared" si="40"/>
        <v>1705086.2303700433</v>
      </c>
      <c r="I669" s="727">
        <f t="shared" si="37"/>
        <v>0</v>
      </c>
      <c r="J669" s="727"/>
      <c r="K669" s="877"/>
      <c r="L669" s="733"/>
      <c r="M669" s="877"/>
      <c r="N669" s="733"/>
      <c r="O669" s="733"/>
    </row>
    <row r="670" spans="2:15">
      <c r="B670" s="332"/>
      <c r="C670" s="723">
        <f>IF(D631="","-",+C669+1)</f>
        <v>2049</v>
      </c>
      <c r="D670" s="674">
        <f t="shared" si="38"/>
        <v>9663438.3605072815</v>
      </c>
      <c r="E670" s="730">
        <f t="shared" si="41"/>
        <v>694378.80434782605</v>
      </c>
      <c r="F670" s="674">
        <f t="shared" si="36"/>
        <v>8969059.5561594553</v>
      </c>
      <c r="G670" s="1265">
        <f t="shared" si="39"/>
        <v>1634979.3568887338</v>
      </c>
      <c r="H670" s="1268">
        <f t="shared" si="40"/>
        <v>1634979.3568887338</v>
      </c>
      <c r="I670" s="727">
        <f t="shared" si="37"/>
        <v>0</v>
      </c>
      <c r="J670" s="727"/>
      <c r="K670" s="877"/>
      <c r="L670" s="733"/>
      <c r="M670" s="877"/>
      <c r="N670" s="733"/>
      <c r="O670" s="733"/>
    </row>
    <row r="671" spans="2:15">
      <c r="B671" s="332"/>
      <c r="C671" s="723">
        <f>IF(D631="","-",+C670+1)</f>
        <v>2050</v>
      </c>
      <c r="D671" s="674">
        <f t="shared" si="38"/>
        <v>8969059.5561594553</v>
      </c>
      <c r="E671" s="730">
        <f t="shared" si="41"/>
        <v>694378.80434782605</v>
      </c>
      <c r="F671" s="674">
        <f t="shared" si="36"/>
        <v>8274680.7518116292</v>
      </c>
      <c r="G671" s="1265">
        <f t="shared" si="39"/>
        <v>1564872.4834074241</v>
      </c>
      <c r="H671" s="1268">
        <f t="shared" si="40"/>
        <v>1564872.4834074241</v>
      </c>
      <c r="I671" s="727">
        <f t="shared" si="37"/>
        <v>0</v>
      </c>
      <c r="J671" s="727"/>
      <c r="K671" s="877"/>
      <c r="L671" s="733"/>
      <c r="M671" s="877"/>
      <c r="N671" s="733"/>
      <c r="O671" s="733"/>
    </row>
    <row r="672" spans="2:15">
      <c r="B672" s="332"/>
      <c r="C672" s="723">
        <f>IF(D631="","-",+C671+1)</f>
        <v>2051</v>
      </c>
      <c r="D672" s="674">
        <f t="shared" si="38"/>
        <v>8274680.7518116292</v>
      </c>
      <c r="E672" s="730">
        <f t="shared" si="41"/>
        <v>694378.80434782605</v>
      </c>
      <c r="F672" s="674">
        <f t="shared" si="36"/>
        <v>7580301.947463803</v>
      </c>
      <c r="G672" s="1265">
        <f t="shared" si="39"/>
        <v>1494765.6099261143</v>
      </c>
      <c r="H672" s="1268">
        <f t="shared" si="40"/>
        <v>1494765.6099261143</v>
      </c>
      <c r="I672" s="727">
        <f t="shared" si="37"/>
        <v>0</v>
      </c>
      <c r="J672" s="727"/>
      <c r="K672" s="877"/>
      <c r="L672" s="733"/>
      <c r="M672" s="877"/>
      <c r="N672" s="733"/>
      <c r="O672" s="733"/>
    </row>
    <row r="673" spans="2:15">
      <c r="B673" s="332"/>
      <c r="C673" s="723">
        <f>IF(D631="","-",+C672+1)</f>
        <v>2052</v>
      </c>
      <c r="D673" s="674">
        <f t="shared" si="38"/>
        <v>7580301.947463803</v>
      </c>
      <c r="E673" s="730">
        <f t="shared" si="41"/>
        <v>694378.80434782605</v>
      </c>
      <c r="F673" s="674">
        <f t="shared" si="36"/>
        <v>6885923.1431159768</v>
      </c>
      <c r="G673" s="1265">
        <f t="shared" si="39"/>
        <v>1424658.7364448048</v>
      </c>
      <c r="H673" s="1268">
        <f t="shared" si="40"/>
        <v>1424658.7364448048</v>
      </c>
      <c r="I673" s="727">
        <f t="shared" si="37"/>
        <v>0</v>
      </c>
      <c r="J673" s="727"/>
      <c r="K673" s="877"/>
      <c r="L673" s="733"/>
      <c r="M673" s="877"/>
      <c r="N673" s="733"/>
      <c r="O673" s="733"/>
    </row>
    <row r="674" spans="2:15">
      <c r="B674" s="332"/>
      <c r="C674" s="723">
        <f>IF(D631="","-",+C673+1)</f>
        <v>2053</v>
      </c>
      <c r="D674" s="674">
        <f t="shared" si="38"/>
        <v>6885923.1431159768</v>
      </c>
      <c r="E674" s="730">
        <f t="shared" si="41"/>
        <v>694378.80434782605</v>
      </c>
      <c r="F674" s="674">
        <f t="shared" si="36"/>
        <v>6191544.3387681507</v>
      </c>
      <c r="G674" s="1265">
        <f t="shared" si="39"/>
        <v>1354551.8629634953</v>
      </c>
      <c r="H674" s="1268">
        <f t="shared" si="40"/>
        <v>1354551.8629634953</v>
      </c>
      <c r="I674" s="727">
        <f t="shared" si="37"/>
        <v>0</v>
      </c>
      <c r="J674" s="727"/>
      <c r="K674" s="877"/>
      <c r="L674" s="733"/>
      <c r="M674" s="877"/>
      <c r="N674" s="733"/>
      <c r="O674" s="733"/>
    </row>
    <row r="675" spans="2:15">
      <c r="B675" s="332"/>
      <c r="C675" s="723">
        <f>IF(D631="","-",+C674+1)</f>
        <v>2054</v>
      </c>
      <c r="D675" s="674">
        <f t="shared" si="38"/>
        <v>6191544.3387681507</v>
      </c>
      <c r="E675" s="730">
        <f t="shared" si="41"/>
        <v>694378.80434782605</v>
      </c>
      <c r="F675" s="674">
        <f t="shared" si="36"/>
        <v>5497165.5344203245</v>
      </c>
      <c r="G675" s="1265">
        <f t="shared" si="39"/>
        <v>1284444.9894821856</v>
      </c>
      <c r="H675" s="1268">
        <f t="shared" si="40"/>
        <v>1284444.9894821856</v>
      </c>
      <c r="I675" s="727">
        <f t="shared" si="37"/>
        <v>0</v>
      </c>
      <c r="J675" s="727"/>
      <c r="K675" s="877"/>
      <c r="L675" s="733"/>
      <c r="M675" s="877"/>
      <c r="N675" s="733"/>
      <c r="O675" s="733"/>
    </row>
    <row r="676" spans="2:15">
      <c r="B676" s="332"/>
      <c r="C676" s="723">
        <f>IF(D631="","-",+C675+1)</f>
        <v>2055</v>
      </c>
      <c r="D676" s="674">
        <f t="shared" si="38"/>
        <v>5497165.5344203245</v>
      </c>
      <c r="E676" s="730">
        <f t="shared" si="41"/>
        <v>694378.80434782605</v>
      </c>
      <c r="F676" s="674">
        <f t="shared" si="36"/>
        <v>4802786.7300724983</v>
      </c>
      <c r="G676" s="1265">
        <f t="shared" si="39"/>
        <v>1214338.1160008758</v>
      </c>
      <c r="H676" s="1268">
        <f t="shared" si="40"/>
        <v>1214338.1160008758</v>
      </c>
      <c r="I676" s="727">
        <f t="shared" si="37"/>
        <v>0</v>
      </c>
      <c r="J676" s="727"/>
      <c r="K676" s="877"/>
      <c r="L676" s="733"/>
      <c r="M676" s="877"/>
      <c r="N676" s="733"/>
      <c r="O676" s="733"/>
    </row>
    <row r="677" spans="2:15">
      <c r="B677" s="332"/>
      <c r="C677" s="723">
        <f>IF(D631="","-",+C676+1)</f>
        <v>2056</v>
      </c>
      <c r="D677" s="674">
        <f t="shared" si="38"/>
        <v>4802786.7300724983</v>
      </c>
      <c r="E677" s="730">
        <f t="shared" si="41"/>
        <v>694378.80434782605</v>
      </c>
      <c r="F677" s="674">
        <f t="shared" si="36"/>
        <v>4108407.9257246722</v>
      </c>
      <c r="G677" s="1265">
        <f t="shared" si="39"/>
        <v>1144231.2425195663</v>
      </c>
      <c r="H677" s="1268">
        <f t="shared" si="40"/>
        <v>1144231.2425195663</v>
      </c>
      <c r="I677" s="727">
        <f t="shared" si="37"/>
        <v>0</v>
      </c>
      <c r="J677" s="727"/>
      <c r="K677" s="877"/>
      <c r="L677" s="733"/>
      <c r="M677" s="877"/>
      <c r="N677" s="733"/>
      <c r="O677" s="733"/>
    </row>
    <row r="678" spans="2:15">
      <c r="B678" s="332"/>
      <c r="C678" s="723">
        <f>IF(D631="","-",+C677+1)</f>
        <v>2057</v>
      </c>
      <c r="D678" s="674">
        <f t="shared" si="38"/>
        <v>4108407.9257246722</v>
      </c>
      <c r="E678" s="730">
        <f t="shared" si="41"/>
        <v>694378.80434782605</v>
      </c>
      <c r="F678" s="674">
        <f t="shared" si="36"/>
        <v>3414029.121376846</v>
      </c>
      <c r="G678" s="1265">
        <f t="shared" si="39"/>
        <v>1074124.3690382568</v>
      </c>
      <c r="H678" s="1268">
        <f t="shared" si="40"/>
        <v>1074124.3690382568</v>
      </c>
      <c r="I678" s="727">
        <f t="shared" si="37"/>
        <v>0</v>
      </c>
      <c r="J678" s="727"/>
      <c r="K678" s="877"/>
      <c r="L678" s="733"/>
      <c r="M678" s="877"/>
      <c r="N678" s="733"/>
      <c r="O678" s="733"/>
    </row>
    <row r="679" spans="2:15">
      <c r="B679" s="332"/>
      <c r="C679" s="723">
        <f>IF(D631="","-",+C678+1)</f>
        <v>2058</v>
      </c>
      <c r="D679" s="674">
        <f t="shared" si="38"/>
        <v>3414029.121376846</v>
      </c>
      <c r="E679" s="730">
        <f t="shared" si="41"/>
        <v>694378.80434782605</v>
      </c>
      <c r="F679" s="674">
        <f t="shared" si="36"/>
        <v>2719650.3170290198</v>
      </c>
      <c r="G679" s="1265">
        <f t="shared" si="39"/>
        <v>1004017.4955569471</v>
      </c>
      <c r="H679" s="1268">
        <f t="shared" si="40"/>
        <v>1004017.4955569471</v>
      </c>
      <c r="I679" s="727">
        <f t="shared" si="37"/>
        <v>0</v>
      </c>
      <c r="J679" s="727"/>
      <c r="K679" s="877"/>
      <c r="L679" s="733"/>
      <c r="M679" s="877"/>
      <c r="N679" s="733"/>
      <c r="O679" s="733"/>
    </row>
    <row r="680" spans="2:15">
      <c r="B680" s="332"/>
      <c r="C680" s="723">
        <f>IF(D631="","-",+C679+1)</f>
        <v>2059</v>
      </c>
      <c r="D680" s="674">
        <f t="shared" si="38"/>
        <v>2719650.3170290198</v>
      </c>
      <c r="E680" s="730">
        <f t="shared" si="41"/>
        <v>694378.80434782605</v>
      </c>
      <c r="F680" s="674">
        <f t="shared" si="36"/>
        <v>2025271.5126811936</v>
      </c>
      <c r="G680" s="1265">
        <f t="shared" si="39"/>
        <v>933910.62207563734</v>
      </c>
      <c r="H680" s="1268">
        <f t="shared" si="40"/>
        <v>933910.62207563734</v>
      </c>
      <c r="I680" s="727">
        <f t="shared" si="37"/>
        <v>0</v>
      </c>
      <c r="J680" s="727"/>
      <c r="K680" s="877"/>
      <c r="L680" s="733"/>
      <c r="M680" s="877"/>
      <c r="N680" s="733"/>
      <c r="O680" s="733"/>
    </row>
    <row r="681" spans="2:15">
      <c r="B681" s="332"/>
      <c r="C681" s="723">
        <f>IF(D631="","-",+C680+1)</f>
        <v>2060</v>
      </c>
      <c r="D681" s="674">
        <f t="shared" si="38"/>
        <v>2025271.5126811936</v>
      </c>
      <c r="E681" s="730">
        <f t="shared" si="41"/>
        <v>694378.80434782605</v>
      </c>
      <c r="F681" s="674">
        <f t="shared" si="36"/>
        <v>1330892.7083333675</v>
      </c>
      <c r="G681" s="1265">
        <f t="shared" si="39"/>
        <v>863803.74859432783</v>
      </c>
      <c r="H681" s="1268">
        <f t="shared" si="40"/>
        <v>863803.74859432783</v>
      </c>
      <c r="I681" s="727">
        <f t="shared" si="37"/>
        <v>0</v>
      </c>
      <c r="J681" s="727"/>
      <c r="K681" s="877"/>
      <c r="L681" s="733"/>
      <c r="M681" s="877"/>
      <c r="N681" s="733"/>
      <c r="O681" s="733"/>
    </row>
    <row r="682" spans="2:15">
      <c r="B682" s="332"/>
      <c r="C682" s="723">
        <f>IF(D631="","-",+C681+1)</f>
        <v>2061</v>
      </c>
      <c r="D682" s="674">
        <f t="shared" si="38"/>
        <v>1330892.7083333675</v>
      </c>
      <c r="E682" s="730">
        <f t="shared" si="41"/>
        <v>694378.80434782605</v>
      </c>
      <c r="F682" s="674">
        <f t="shared" si="36"/>
        <v>636513.90398554143</v>
      </c>
      <c r="G682" s="1265">
        <f t="shared" si="39"/>
        <v>793696.87511301809</v>
      </c>
      <c r="H682" s="1268">
        <f t="shared" si="40"/>
        <v>793696.87511301809</v>
      </c>
      <c r="I682" s="727">
        <f t="shared" si="37"/>
        <v>0</v>
      </c>
      <c r="J682" s="727"/>
      <c r="K682" s="877"/>
      <c r="L682" s="733"/>
      <c r="M682" s="877"/>
      <c r="N682" s="733"/>
      <c r="O682" s="733"/>
    </row>
    <row r="683" spans="2:15">
      <c r="B683" s="332"/>
      <c r="C683" s="723">
        <f>IF(D631="","-",+C682+1)</f>
        <v>2062</v>
      </c>
      <c r="D683" s="674">
        <f t="shared" si="38"/>
        <v>636513.90398554143</v>
      </c>
      <c r="E683" s="730">
        <f t="shared" si="41"/>
        <v>636513.90398554143</v>
      </c>
      <c r="F683" s="674">
        <f t="shared" si="36"/>
        <v>0</v>
      </c>
      <c r="G683" s="1265">
        <f t="shared" si="39"/>
        <v>668646.22099781001</v>
      </c>
      <c r="H683" s="1268">
        <f t="shared" si="40"/>
        <v>668646.22099781001</v>
      </c>
      <c r="I683" s="727">
        <f t="shared" si="37"/>
        <v>0</v>
      </c>
      <c r="J683" s="727"/>
      <c r="K683" s="877"/>
      <c r="L683" s="733"/>
      <c r="M683" s="877"/>
      <c r="N683" s="733"/>
      <c r="O683" s="733"/>
    </row>
    <row r="684" spans="2:15">
      <c r="B684" s="332"/>
      <c r="C684" s="723">
        <f>IF(D631="","-",+C683+1)</f>
        <v>2063</v>
      </c>
      <c r="D684" s="674">
        <f t="shared" si="38"/>
        <v>0</v>
      </c>
      <c r="E684" s="730">
        <f t="shared" si="41"/>
        <v>0</v>
      </c>
      <c r="F684" s="674">
        <f t="shared" si="36"/>
        <v>0</v>
      </c>
      <c r="G684" s="1265">
        <f t="shared" si="39"/>
        <v>0</v>
      </c>
      <c r="H684" s="1268">
        <f t="shared" si="40"/>
        <v>0</v>
      </c>
      <c r="I684" s="727">
        <f t="shared" si="37"/>
        <v>0</v>
      </c>
      <c r="J684" s="727"/>
      <c r="K684" s="877"/>
      <c r="L684" s="733"/>
      <c r="M684" s="877"/>
      <c r="N684" s="733"/>
      <c r="O684" s="733"/>
    </row>
    <row r="685" spans="2:15">
      <c r="B685" s="332"/>
      <c r="C685" s="723">
        <f>IF(D631="","-",+C684+1)</f>
        <v>2064</v>
      </c>
      <c r="D685" s="674">
        <f t="shared" si="38"/>
        <v>0</v>
      </c>
      <c r="E685" s="730">
        <f t="shared" si="41"/>
        <v>0</v>
      </c>
      <c r="F685" s="674">
        <f t="shared" si="36"/>
        <v>0</v>
      </c>
      <c r="G685" s="1265">
        <f t="shared" si="39"/>
        <v>0</v>
      </c>
      <c r="H685" s="1268">
        <f t="shared" si="40"/>
        <v>0</v>
      </c>
      <c r="I685" s="727">
        <f t="shared" si="37"/>
        <v>0</v>
      </c>
      <c r="J685" s="727"/>
      <c r="K685" s="877"/>
      <c r="L685" s="733"/>
      <c r="M685" s="877"/>
      <c r="N685" s="733"/>
      <c r="O685" s="733"/>
    </row>
    <row r="686" spans="2:15">
      <c r="B686" s="332"/>
      <c r="C686" s="723">
        <f>IF(D631="","-",+C685+1)</f>
        <v>2065</v>
      </c>
      <c r="D686" s="674">
        <f t="shared" si="38"/>
        <v>0</v>
      </c>
      <c r="E686" s="730">
        <f t="shared" si="41"/>
        <v>0</v>
      </c>
      <c r="F686" s="674">
        <f t="shared" si="36"/>
        <v>0</v>
      </c>
      <c r="G686" s="1265">
        <f t="shared" si="39"/>
        <v>0</v>
      </c>
      <c r="H686" s="1268">
        <f t="shared" si="40"/>
        <v>0</v>
      </c>
      <c r="I686" s="727">
        <f t="shared" si="37"/>
        <v>0</v>
      </c>
      <c r="J686" s="727"/>
      <c r="K686" s="877"/>
      <c r="L686" s="733"/>
      <c r="M686" s="877"/>
      <c r="N686" s="733"/>
      <c r="O686" s="733"/>
    </row>
    <row r="687" spans="2:15">
      <c r="B687" s="332"/>
      <c r="C687" s="723">
        <f>IF(D631="","-",+C686+1)</f>
        <v>2066</v>
      </c>
      <c r="D687" s="674">
        <f t="shared" si="38"/>
        <v>0</v>
      </c>
      <c r="E687" s="730">
        <f t="shared" si="41"/>
        <v>0</v>
      </c>
      <c r="F687" s="674">
        <f t="shared" si="36"/>
        <v>0</v>
      </c>
      <c r="G687" s="1265">
        <f t="shared" si="39"/>
        <v>0</v>
      </c>
      <c r="H687" s="1268">
        <f t="shared" si="40"/>
        <v>0</v>
      </c>
      <c r="I687" s="727">
        <f t="shared" si="37"/>
        <v>0</v>
      </c>
      <c r="J687" s="727"/>
      <c r="K687" s="877"/>
      <c r="L687" s="733"/>
      <c r="M687" s="877"/>
      <c r="N687" s="733"/>
      <c r="O687" s="733"/>
    </row>
    <row r="688" spans="2:15">
      <c r="B688" s="332"/>
      <c r="C688" s="723">
        <f>IF(D631="","-",+C687+1)</f>
        <v>2067</v>
      </c>
      <c r="D688" s="674">
        <f t="shared" si="38"/>
        <v>0</v>
      </c>
      <c r="E688" s="730">
        <f t="shared" si="41"/>
        <v>0</v>
      </c>
      <c r="F688" s="674">
        <f t="shared" si="36"/>
        <v>0</v>
      </c>
      <c r="G688" s="1265">
        <f t="shared" si="39"/>
        <v>0</v>
      </c>
      <c r="H688" s="1268">
        <f t="shared" si="40"/>
        <v>0</v>
      </c>
      <c r="I688" s="727">
        <f t="shared" si="37"/>
        <v>0</v>
      </c>
      <c r="J688" s="727"/>
      <c r="K688" s="877"/>
      <c r="L688" s="733"/>
      <c r="M688" s="877"/>
      <c r="N688" s="733"/>
      <c r="O688" s="733"/>
    </row>
    <row r="689" spans="2:15">
      <c r="B689" s="332"/>
      <c r="C689" s="723">
        <f>IF(D631="","-",+C688+1)</f>
        <v>2068</v>
      </c>
      <c r="D689" s="674">
        <f t="shared" si="38"/>
        <v>0</v>
      </c>
      <c r="E689" s="730">
        <f t="shared" si="41"/>
        <v>0</v>
      </c>
      <c r="F689" s="674">
        <f t="shared" si="36"/>
        <v>0</v>
      </c>
      <c r="G689" s="1265">
        <f t="shared" si="39"/>
        <v>0</v>
      </c>
      <c r="H689" s="1268">
        <f t="shared" si="40"/>
        <v>0</v>
      </c>
      <c r="I689" s="727">
        <f t="shared" si="37"/>
        <v>0</v>
      </c>
      <c r="J689" s="727"/>
      <c r="K689" s="877"/>
      <c r="L689" s="733"/>
      <c r="M689" s="877"/>
      <c r="N689" s="733"/>
      <c r="O689" s="733"/>
    </row>
    <row r="690" spans="2:15">
      <c r="B690" s="332"/>
      <c r="C690" s="723">
        <f>IF(D631="","-",+C689+1)</f>
        <v>2069</v>
      </c>
      <c r="D690" s="674">
        <f t="shared" si="38"/>
        <v>0</v>
      </c>
      <c r="E690" s="730">
        <f t="shared" si="41"/>
        <v>0</v>
      </c>
      <c r="F690" s="674">
        <f t="shared" si="36"/>
        <v>0</v>
      </c>
      <c r="G690" s="1265">
        <f t="shared" si="39"/>
        <v>0</v>
      </c>
      <c r="H690" s="1268">
        <f t="shared" si="40"/>
        <v>0</v>
      </c>
      <c r="I690" s="727">
        <f t="shared" si="37"/>
        <v>0</v>
      </c>
      <c r="J690" s="727"/>
      <c r="K690" s="877"/>
      <c r="L690" s="733"/>
      <c r="M690" s="877"/>
      <c r="N690" s="733"/>
      <c r="O690" s="733"/>
    </row>
    <row r="691" spans="2:15">
      <c r="B691" s="332"/>
      <c r="C691" s="723">
        <f>IF(D631="","-",+C690+1)</f>
        <v>2070</v>
      </c>
      <c r="D691" s="674">
        <f t="shared" si="38"/>
        <v>0</v>
      </c>
      <c r="E691" s="730">
        <f t="shared" si="41"/>
        <v>0</v>
      </c>
      <c r="F691" s="674">
        <f t="shared" si="36"/>
        <v>0</v>
      </c>
      <c r="G691" s="1265">
        <f t="shared" si="39"/>
        <v>0</v>
      </c>
      <c r="H691" s="1268">
        <f t="shared" si="40"/>
        <v>0</v>
      </c>
      <c r="I691" s="727">
        <f t="shared" si="37"/>
        <v>0</v>
      </c>
      <c r="J691" s="727"/>
      <c r="K691" s="877"/>
      <c r="L691" s="733"/>
      <c r="M691" s="877"/>
      <c r="N691" s="733"/>
      <c r="O691" s="733"/>
    </row>
    <row r="692" spans="2:15">
      <c r="B692" s="332"/>
      <c r="C692" s="723">
        <f>IF(D631="","-",+C691+1)</f>
        <v>2071</v>
      </c>
      <c r="D692" s="674">
        <f t="shared" si="38"/>
        <v>0</v>
      </c>
      <c r="E692" s="730">
        <f t="shared" si="41"/>
        <v>0</v>
      </c>
      <c r="F692" s="674">
        <f t="shared" si="36"/>
        <v>0</v>
      </c>
      <c r="G692" s="1265">
        <f t="shared" si="39"/>
        <v>0</v>
      </c>
      <c r="H692" s="1268">
        <f t="shared" si="40"/>
        <v>0</v>
      </c>
      <c r="I692" s="727">
        <f t="shared" si="37"/>
        <v>0</v>
      </c>
      <c r="J692" s="727"/>
      <c r="K692" s="877"/>
      <c r="L692" s="733"/>
      <c r="M692" s="877"/>
      <c r="N692" s="733"/>
      <c r="O692" s="733"/>
    </row>
    <row r="693" spans="2:15">
      <c r="B693" s="332"/>
      <c r="C693" s="723">
        <f>IF(D631="","-",+C692+1)</f>
        <v>2072</v>
      </c>
      <c r="D693" s="674">
        <f t="shared" si="38"/>
        <v>0</v>
      </c>
      <c r="E693" s="730">
        <f t="shared" si="41"/>
        <v>0</v>
      </c>
      <c r="F693" s="674">
        <f t="shared" si="36"/>
        <v>0</v>
      </c>
      <c r="G693" s="1265">
        <f t="shared" si="39"/>
        <v>0</v>
      </c>
      <c r="H693" s="1268">
        <f t="shared" si="40"/>
        <v>0</v>
      </c>
      <c r="I693" s="727">
        <f t="shared" si="37"/>
        <v>0</v>
      </c>
      <c r="J693" s="727"/>
      <c r="K693" s="877"/>
      <c r="L693" s="733"/>
      <c r="M693" s="877"/>
      <c r="N693" s="733"/>
      <c r="O693" s="733"/>
    </row>
    <row r="694" spans="2:15">
      <c r="B694" s="332"/>
      <c r="C694" s="723">
        <f>IF(D631="","-",+C693+1)</f>
        <v>2073</v>
      </c>
      <c r="D694" s="674">
        <f t="shared" si="38"/>
        <v>0</v>
      </c>
      <c r="E694" s="730">
        <f t="shared" si="41"/>
        <v>0</v>
      </c>
      <c r="F694" s="674">
        <f t="shared" si="36"/>
        <v>0</v>
      </c>
      <c r="G694" s="1265">
        <f t="shared" si="39"/>
        <v>0</v>
      </c>
      <c r="H694" s="1268">
        <f t="shared" si="40"/>
        <v>0</v>
      </c>
      <c r="I694" s="727">
        <f t="shared" si="37"/>
        <v>0</v>
      </c>
      <c r="J694" s="727"/>
      <c r="K694" s="877"/>
      <c r="L694" s="733"/>
      <c r="M694" s="877"/>
      <c r="N694" s="733"/>
      <c r="O694" s="733"/>
    </row>
    <row r="695" spans="2:15">
      <c r="B695" s="332"/>
      <c r="C695" s="723">
        <f>IF(D631="","-",+C694+1)</f>
        <v>2074</v>
      </c>
      <c r="D695" s="674">
        <f t="shared" si="38"/>
        <v>0</v>
      </c>
      <c r="E695" s="730">
        <f t="shared" si="41"/>
        <v>0</v>
      </c>
      <c r="F695" s="674">
        <f t="shared" si="36"/>
        <v>0</v>
      </c>
      <c r="G695" s="1265">
        <f t="shared" si="39"/>
        <v>0</v>
      </c>
      <c r="H695" s="1268">
        <f t="shared" si="40"/>
        <v>0</v>
      </c>
      <c r="I695" s="727">
        <f t="shared" si="37"/>
        <v>0</v>
      </c>
      <c r="J695" s="727"/>
      <c r="K695" s="877"/>
      <c r="L695" s="733"/>
      <c r="M695" s="877"/>
      <c r="N695" s="733"/>
      <c r="O695" s="733"/>
    </row>
    <row r="696" spans="2:15" ht="13.5" thickBot="1">
      <c r="B696" s="332"/>
      <c r="C696" s="735">
        <f>IF(D631="","-",+C695+1)</f>
        <v>2075</v>
      </c>
      <c r="D696" s="736">
        <f t="shared" si="38"/>
        <v>0</v>
      </c>
      <c r="E696" s="737">
        <f t="shared" si="41"/>
        <v>0</v>
      </c>
      <c r="F696" s="736">
        <f t="shared" si="36"/>
        <v>0</v>
      </c>
      <c r="G696" s="1275">
        <f t="shared" si="39"/>
        <v>0</v>
      </c>
      <c r="H696" s="1275">
        <f t="shared" si="40"/>
        <v>0</v>
      </c>
      <c r="I696" s="739">
        <f t="shared" si="37"/>
        <v>0</v>
      </c>
      <c r="J696" s="727"/>
      <c r="K696" s="878"/>
      <c r="L696" s="741"/>
      <c r="M696" s="878"/>
      <c r="N696" s="741"/>
      <c r="O696" s="741"/>
    </row>
    <row r="697" spans="2:15">
      <c r="B697" s="332"/>
      <c r="C697" s="674" t="s">
        <v>288</v>
      </c>
      <c r="D697" s="1246"/>
      <c r="E697" s="1246">
        <f>SUM(E637:E696)</f>
        <v>31941425</v>
      </c>
      <c r="F697" s="1246"/>
      <c r="G697" s="1246">
        <f>SUM(G637:G696)</f>
        <v>109070670.30835429</v>
      </c>
      <c r="H697" s="1246">
        <f>SUM(H637:H696)</f>
        <v>109070670.30835429</v>
      </c>
      <c r="I697" s="1246">
        <f>SUM(I637:I696)</f>
        <v>0</v>
      </c>
      <c r="J697" s="1246"/>
      <c r="K697" s="1246"/>
      <c r="L697" s="1246"/>
      <c r="M697" s="1246"/>
      <c r="N697" s="1246"/>
      <c r="O697" s="541"/>
    </row>
    <row r="698" spans="2:15">
      <c r="B698" s="332"/>
      <c r="D698" s="564"/>
      <c r="E698" s="541"/>
      <c r="F698" s="541"/>
      <c r="G698" s="541"/>
      <c r="H698" s="1245"/>
      <c r="I698" s="1245"/>
      <c r="J698" s="1246"/>
      <c r="K698" s="1245"/>
      <c r="L698" s="1245"/>
      <c r="M698" s="1245"/>
      <c r="N698" s="1245"/>
      <c r="O698" s="541"/>
    </row>
    <row r="699" spans="2:15">
      <c r="B699" s="332"/>
      <c r="C699" s="541" t="s">
        <v>601</v>
      </c>
      <c r="D699" s="564"/>
      <c r="E699" s="541"/>
      <c r="F699" s="541"/>
      <c r="G699" s="541"/>
      <c r="H699" s="1245"/>
      <c r="I699" s="1245"/>
      <c r="J699" s="1246"/>
      <c r="K699" s="1245"/>
      <c r="L699" s="1245"/>
      <c r="M699" s="1245"/>
      <c r="N699" s="1245"/>
      <c r="O699" s="541"/>
    </row>
    <row r="700" spans="2:15">
      <c r="B700" s="332"/>
      <c r="D700" s="564"/>
      <c r="E700" s="541"/>
      <c r="F700" s="541"/>
      <c r="G700" s="541"/>
      <c r="H700" s="1245"/>
      <c r="I700" s="1245"/>
      <c r="J700" s="1246"/>
      <c r="K700" s="1245"/>
      <c r="L700" s="1245"/>
      <c r="M700" s="1245"/>
      <c r="N700" s="1245"/>
      <c r="O700" s="541"/>
    </row>
    <row r="701" spans="2:15">
      <c r="B701" s="332"/>
      <c r="C701" s="577" t="s">
        <v>602</v>
      </c>
      <c r="D701" s="674"/>
      <c r="E701" s="674"/>
      <c r="F701" s="674"/>
      <c r="G701" s="1246"/>
      <c r="H701" s="1246"/>
      <c r="I701" s="675"/>
      <c r="J701" s="675"/>
      <c r="K701" s="675"/>
      <c r="L701" s="675"/>
      <c r="M701" s="675"/>
      <c r="N701" s="675"/>
      <c r="O701" s="541"/>
    </row>
    <row r="702" spans="2:15">
      <c r="B702" s="332"/>
      <c r="C702" s="577" t="s">
        <v>476</v>
      </c>
      <c r="D702" s="674"/>
      <c r="E702" s="674"/>
      <c r="F702" s="674"/>
      <c r="G702" s="1246"/>
      <c r="H702" s="1246"/>
      <c r="I702" s="675"/>
      <c r="J702" s="675"/>
      <c r="K702" s="675"/>
      <c r="L702" s="675"/>
      <c r="M702" s="675"/>
      <c r="N702" s="675"/>
      <c r="O702" s="541"/>
    </row>
    <row r="703" spans="2:15">
      <c r="B703" s="332"/>
      <c r="C703" s="577" t="s">
        <v>289</v>
      </c>
      <c r="D703" s="674"/>
      <c r="E703" s="674"/>
      <c r="F703" s="674"/>
      <c r="G703" s="1246"/>
      <c r="H703" s="1246"/>
      <c r="I703" s="675"/>
      <c r="J703" s="675"/>
      <c r="K703" s="675"/>
      <c r="L703" s="675"/>
      <c r="M703" s="675"/>
      <c r="N703" s="675"/>
      <c r="O703" s="541"/>
    </row>
    <row r="704" spans="2:15">
      <c r="B704" s="332"/>
      <c r="C704" s="673"/>
      <c r="D704" s="674"/>
      <c r="E704" s="674"/>
      <c r="F704" s="674"/>
      <c r="G704" s="1246"/>
      <c r="H704" s="1246"/>
      <c r="I704" s="675"/>
      <c r="J704" s="675"/>
      <c r="K704" s="675"/>
      <c r="L704" s="675"/>
      <c r="M704" s="675"/>
      <c r="N704" s="675"/>
      <c r="O704" s="541"/>
    </row>
    <row r="705" spans="1:16">
      <c r="B705" s="332"/>
      <c r="C705" s="1543" t="s">
        <v>460</v>
      </c>
      <c r="D705" s="1543"/>
      <c r="E705" s="1543"/>
      <c r="F705" s="1543"/>
      <c r="G705" s="1543"/>
      <c r="H705" s="1543"/>
      <c r="I705" s="1543"/>
      <c r="J705" s="1543"/>
      <c r="K705" s="1543"/>
      <c r="L705" s="1543"/>
      <c r="M705" s="1543"/>
      <c r="N705" s="1543"/>
      <c r="O705" s="1543"/>
    </row>
    <row r="706" spans="1:16">
      <c r="B706" s="332"/>
      <c r="C706" s="1543"/>
      <c r="D706" s="1543"/>
      <c r="E706" s="1543"/>
      <c r="F706" s="1543"/>
      <c r="G706" s="1543"/>
      <c r="H706" s="1543"/>
      <c r="I706" s="1543"/>
      <c r="J706" s="1543"/>
      <c r="K706" s="1543"/>
      <c r="L706" s="1543"/>
      <c r="M706" s="1543"/>
      <c r="N706" s="1543"/>
      <c r="O706" s="1543"/>
    </row>
    <row r="707" spans="1:16" ht="20.25">
      <c r="A707" s="676" t="s">
        <v>972</v>
      </c>
      <c r="B707" s="541"/>
      <c r="C707" s="656"/>
      <c r="D707" s="564"/>
      <c r="E707" s="541"/>
      <c r="F707" s="646"/>
      <c r="G707" s="541"/>
      <c r="H707" s="1245"/>
      <c r="K707" s="677"/>
      <c r="L707" s="677"/>
      <c r="M707" s="677"/>
      <c r="N707" s="592" t="str">
        <f>"Page "&amp;SUM(P$6:P707)&amp;" of "</f>
        <v xml:space="preserve">Page 9 of </v>
      </c>
      <c r="O707" s="593">
        <f>COUNT(P$6:P$59606)</f>
        <v>14</v>
      </c>
      <c r="P707" s="541">
        <v>1</v>
      </c>
    </row>
    <row r="708" spans="1:16">
      <c r="B708" s="541"/>
      <c r="C708" s="541"/>
      <c r="D708" s="564"/>
      <c r="E708" s="541"/>
      <c r="F708" s="541"/>
      <c r="G708" s="541"/>
      <c r="H708" s="1245"/>
      <c r="I708" s="541"/>
      <c r="J708" s="589"/>
      <c r="K708" s="541"/>
      <c r="L708" s="541"/>
      <c r="M708" s="541"/>
      <c r="N708" s="541"/>
      <c r="O708" s="541"/>
    </row>
    <row r="709" spans="1:16" ht="18">
      <c r="B709" s="596" t="s">
        <v>174</v>
      </c>
      <c r="C709" s="678" t="s">
        <v>290</v>
      </c>
      <c r="D709" s="564"/>
      <c r="E709" s="541"/>
      <c r="F709" s="541"/>
      <c r="G709" s="541"/>
      <c r="H709" s="1245"/>
      <c r="I709" s="1245"/>
      <c r="J709" s="1246"/>
      <c r="K709" s="1245"/>
      <c r="L709" s="1245"/>
      <c r="M709" s="1245"/>
      <c r="N709" s="1245"/>
      <c r="O709" s="541"/>
    </row>
    <row r="710" spans="1:16" ht="18.75">
      <c r="B710" s="596"/>
      <c r="C710" s="595"/>
      <c r="D710" s="564"/>
      <c r="E710" s="541"/>
      <c r="F710" s="541"/>
      <c r="G710" s="541"/>
      <c r="H710" s="1245"/>
      <c r="I710" s="1245"/>
      <c r="J710" s="1246"/>
      <c r="K710" s="1245"/>
      <c r="L710" s="1245"/>
      <c r="M710" s="1245"/>
      <c r="N710" s="1245"/>
      <c r="O710" s="541"/>
    </row>
    <row r="711" spans="1:16" ht="18.75">
      <c r="B711" s="596"/>
      <c r="C711" s="595" t="s">
        <v>291</v>
      </c>
      <c r="D711" s="564"/>
      <c r="E711" s="541"/>
      <c r="F711" s="541"/>
      <c r="G711" s="541"/>
      <c r="H711" s="1245"/>
      <c r="I711" s="1245"/>
      <c r="J711" s="1246"/>
      <c r="K711" s="1245"/>
      <c r="L711" s="1245"/>
      <c r="M711" s="1245"/>
      <c r="N711" s="1245"/>
      <c r="O711" s="541"/>
    </row>
    <row r="712" spans="1:16" ht="15.75" thickBot="1">
      <c r="B712" s="332"/>
      <c r="C712" s="398"/>
      <c r="D712" s="564"/>
      <c r="E712" s="541"/>
      <c r="F712" s="541"/>
      <c r="G712" s="541"/>
      <c r="H712" s="1245"/>
      <c r="I712" s="1245"/>
      <c r="J712" s="1246"/>
      <c r="K712" s="1245"/>
      <c r="L712" s="1245"/>
      <c r="M712" s="1245"/>
      <c r="N712" s="1245"/>
      <c r="O712" s="541"/>
    </row>
    <row r="713" spans="1:16" ht="15.75">
      <c r="B713" s="332"/>
      <c r="C713" s="597" t="s">
        <v>292</v>
      </c>
      <c r="D713" s="564"/>
      <c r="E713" s="541"/>
      <c r="F713" s="541"/>
      <c r="G713" s="1247"/>
      <c r="H713" s="541" t="s">
        <v>271</v>
      </c>
      <c r="I713" s="541"/>
      <c r="J713" s="589"/>
      <c r="K713" s="679" t="s">
        <v>296</v>
      </c>
      <c r="L713" s="680"/>
      <c r="M713" s="681"/>
      <c r="N713" s="1248">
        <f>VLOOKUP(I719,C726:O785,5)</f>
        <v>642496.55891380913</v>
      </c>
      <c r="O713" s="541"/>
    </row>
    <row r="714" spans="1:16" ht="15.75">
      <c r="B714" s="332"/>
      <c r="C714" s="597"/>
      <c r="D714" s="564"/>
      <c r="E714" s="541"/>
      <c r="F714" s="541"/>
      <c r="G714" s="541"/>
      <c r="H714" s="1249"/>
      <c r="I714" s="1249"/>
      <c r="J714" s="1250"/>
      <c r="K714" s="684" t="s">
        <v>297</v>
      </c>
      <c r="L714" s="1251"/>
      <c r="M714" s="589"/>
      <c r="N714" s="1252">
        <f>VLOOKUP(I719,C726:O785,6)</f>
        <v>642496.55891380913</v>
      </c>
      <c r="O714" s="541"/>
    </row>
    <row r="715" spans="1:16" ht="13.5" thickBot="1">
      <c r="B715" s="332"/>
      <c r="C715" s="685" t="s">
        <v>293</v>
      </c>
      <c r="D715" s="1544" t="s">
        <v>981</v>
      </c>
      <c r="E715" s="1544"/>
      <c r="F715" s="1544"/>
      <c r="G715" s="1544"/>
      <c r="H715" s="1544"/>
      <c r="I715" s="1245"/>
      <c r="J715" s="1246"/>
      <c r="K715" s="1253" t="s">
        <v>450</v>
      </c>
      <c r="L715" s="1254"/>
      <c r="M715" s="1254"/>
      <c r="N715" s="1255">
        <f>+N714-N713</f>
        <v>0</v>
      </c>
      <c r="O715" s="541"/>
    </row>
    <row r="716" spans="1:16">
      <c r="B716" s="332"/>
      <c r="C716" s="687"/>
      <c r="D716" s="688"/>
      <c r="E716" s="672"/>
      <c r="F716" s="672"/>
      <c r="G716" s="689"/>
      <c r="H716" s="1245"/>
      <c r="I716" s="1245"/>
      <c r="J716" s="1246"/>
      <c r="K716" s="1245"/>
      <c r="L716" s="1245"/>
      <c r="M716" s="1245"/>
      <c r="N716" s="1245"/>
      <c r="O716" s="541"/>
    </row>
    <row r="717" spans="1:16" ht="13.5" thickBot="1">
      <c r="B717" s="332"/>
      <c r="C717" s="690"/>
      <c r="D717" s="691"/>
      <c r="E717" s="689"/>
      <c r="F717" s="689"/>
      <c r="G717" s="689"/>
      <c r="H717" s="689"/>
      <c r="I717" s="689"/>
      <c r="J717" s="692"/>
      <c r="K717" s="689"/>
      <c r="L717" s="689"/>
      <c r="M717" s="689"/>
      <c r="N717" s="689"/>
      <c r="O717" s="577"/>
    </row>
    <row r="718" spans="1:16" ht="13.5" thickBot="1">
      <c r="B718" s="332"/>
      <c r="C718" s="694" t="s">
        <v>294</v>
      </c>
      <c r="D718" s="695"/>
      <c r="E718" s="695"/>
      <c r="F718" s="695"/>
      <c r="G718" s="695"/>
      <c r="H718" s="695"/>
      <c r="I718" s="696"/>
      <c r="J718" s="697"/>
      <c r="K718" s="541"/>
      <c r="L718" s="541"/>
      <c r="M718" s="541"/>
      <c r="N718" s="541"/>
      <c r="O718" s="698"/>
    </row>
    <row r="719" spans="1:16" ht="15">
      <c r="C719" s="700" t="s">
        <v>272</v>
      </c>
      <c r="D719" s="1256">
        <v>5481331</v>
      </c>
      <c r="E719" s="656" t="s">
        <v>273</v>
      </c>
      <c r="G719" s="701"/>
      <c r="H719" s="701"/>
      <c r="I719" s="702">
        <v>2018</v>
      </c>
      <c r="J719" s="587"/>
      <c r="K719" s="1542" t="s">
        <v>459</v>
      </c>
      <c r="L719" s="1542"/>
      <c r="M719" s="1542"/>
      <c r="N719" s="1542"/>
      <c r="O719" s="1542"/>
    </row>
    <row r="720" spans="1:16">
      <c r="C720" s="700" t="s">
        <v>275</v>
      </c>
      <c r="D720" s="872">
        <v>2015</v>
      </c>
      <c r="E720" s="700" t="s">
        <v>276</v>
      </c>
      <c r="F720" s="701"/>
      <c r="H720" s="332"/>
      <c r="I720" s="875">
        <f>IF(G713="",0,$F$15)</f>
        <v>0</v>
      </c>
      <c r="J720" s="703"/>
      <c r="K720" s="1246" t="s">
        <v>459</v>
      </c>
    </row>
    <row r="721" spans="1:15">
      <c r="C721" s="700" t="s">
        <v>277</v>
      </c>
      <c r="D721" s="1257">
        <v>12</v>
      </c>
      <c r="E721" s="700" t="s">
        <v>278</v>
      </c>
      <c r="F721" s="701"/>
      <c r="H721" s="332"/>
      <c r="I721" s="704">
        <f>$G$70</f>
        <v>0.1009634410531228</v>
      </c>
      <c r="J721" s="705"/>
      <c r="K721" s="332" t="str">
        <f>"          INPUT PROJECTED ARR (WITH &amp; WITHOUT INCENTIVES) FROM EACH PRIOR YEAR"</f>
        <v xml:space="preserve">          INPUT PROJECTED ARR (WITH &amp; WITHOUT INCENTIVES) FROM EACH PRIOR YEAR</v>
      </c>
    </row>
    <row r="722" spans="1:15">
      <c r="C722" s="700" t="s">
        <v>279</v>
      </c>
      <c r="D722" s="706">
        <f>G$79</f>
        <v>46</v>
      </c>
      <c r="E722" s="700" t="s">
        <v>280</v>
      </c>
      <c r="F722" s="701"/>
      <c r="H722" s="332"/>
      <c r="I722" s="704">
        <f>IF(G713="",I721,$G$67)</f>
        <v>0.1009634410531228</v>
      </c>
      <c r="J722" s="707"/>
      <c r="K722" s="332" t="s">
        <v>357</v>
      </c>
    </row>
    <row r="723" spans="1:15" ht="13.5" thickBot="1">
      <c r="C723" s="700" t="s">
        <v>281</v>
      </c>
      <c r="D723" s="874" t="s">
        <v>974</v>
      </c>
      <c r="E723" s="708" t="s">
        <v>282</v>
      </c>
      <c r="F723" s="709"/>
      <c r="G723" s="710"/>
      <c r="H723" s="710"/>
      <c r="I723" s="1255">
        <f>IF(D719=0,0,D719/D722)</f>
        <v>119159.36956521739</v>
      </c>
      <c r="J723" s="1246"/>
      <c r="K723" s="1246" t="s">
        <v>363</v>
      </c>
      <c r="L723" s="1246"/>
      <c r="M723" s="1246"/>
      <c r="N723" s="1246"/>
      <c r="O723" s="589"/>
    </row>
    <row r="724" spans="1:15" ht="51">
      <c r="A724" s="528"/>
      <c r="B724" s="528"/>
      <c r="C724" s="711" t="s">
        <v>272</v>
      </c>
      <c r="D724" s="1258" t="s">
        <v>283</v>
      </c>
      <c r="E724" s="1259" t="s">
        <v>284</v>
      </c>
      <c r="F724" s="1258" t="s">
        <v>285</v>
      </c>
      <c r="G724" s="1259" t="s">
        <v>356</v>
      </c>
      <c r="H724" s="1260" t="s">
        <v>356</v>
      </c>
      <c r="I724" s="711" t="s">
        <v>295</v>
      </c>
      <c r="J724" s="715"/>
      <c r="K724" s="1259" t="s">
        <v>365</v>
      </c>
      <c r="L724" s="1261"/>
      <c r="M724" s="1259" t="s">
        <v>365</v>
      </c>
      <c r="N724" s="1261"/>
      <c r="O724" s="1261"/>
    </row>
    <row r="725" spans="1:15" ht="13.5" thickBot="1">
      <c r="B725" s="332"/>
      <c r="C725" s="717" t="s">
        <v>177</v>
      </c>
      <c r="D725" s="718" t="s">
        <v>178</v>
      </c>
      <c r="E725" s="717" t="s">
        <v>37</v>
      </c>
      <c r="F725" s="718" t="s">
        <v>178</v>
      </c>
      <c r="G725" s="1262" t="s">
        <v>298</v>
      </c>
      <c r="H725" s="1263" t="s">
        <v>300</v>
      </c>
      <c r="I725" s="721" t="s">
        <v>389</v>
      </c>
      <c r="J725" s="722"/>
      <c r="K725" s="1262" t="s">
        <v>287</v>
      </c>
      <c r="L725" s="1264"/>
      <c r="M725" s="1262" t="s">
        <v>300</v>
      </c>
      <c r="N725" s="1264"/>
      <c r="O725" s="1264"/>
    </row>
    <row r="726" spans="1:15">
      <c r="B726" s="332"/>
      <c r="C726" s="723">
        <f>IF(D720= "","-",D720)</f>
        <v>2015</v>
      </c>
      <c r="D726" s="674">
        <f>+D719</f>
        <v>5481331</v>
      </c>
      <c r="E726" s="1265">
        <f>+I723/12*(12-D721)</f>
        <v>0</v>
      </c>
      <c r="F726" s="674">
        <f t="shared" ref="F726:F785" si="42">+D726-E726</f>
        <v>5481331</v>
      </c>
      <c r="G726" s="1266">
        <f>+$I$721*((D726+F726)/2)+E726</f>
        <v>553414.03931115463</v>
      </c>
      <c r="H726" s="1267">
        <f>+$I$722*((D726+F726)/2)+E726</f>
        <v>553414.03931115463</v>
      </c>
      <c r="I726" s="727">
        <f t="shared" ref="I726:I785" si="43">+H726-G726</f>
        <v>0</v>
      </c>
      <c r="J726" s="727"/>
      <c r="K726" s="876">
        <v>0</v>
      </c>
      <c r="L726" s="729"/>
      <c r="M726" s="876">
        <v>0</v>
      </c>
      <c r="N726" s="729"/>
      <c r="O726" s="729"/>
    </row>
    <row r="727" spans="1:15">
      <c r="B727" s="332"/>
      <c r="C727" s="723">
        <f>IF(D720="","-",+C726+1)</f>
        <v>2016</v>
      </c>
      <c r="D727" s="674">
        <f t="shared" ref="D727:D785" si="44">F726</f>
        <v>5481331</v>
      </c>
      <c r="E727" s="730">
        <f>IF(D727&gt;$I$723,$I$723,D727)</f>
        <v>119159.36956521739</v>
      </c>
      <c r="F727" s="674">
        <f t="shared" si="42"/>
        <v>5362171.6304347822</v>
      </c>
      <c r="G727" s="1265">
        <f t="shared" ref="G727:G785" si="45">+$I$721*((D727+F727)/2)+E727</f>
        <v>666558.03888385941</v>
      </c>
      <c r="H727" s="1268">
        <f t="shared" ref="H727:H785" si="46">+$I$722*((D727+F727)/2)+E727</f>
        <v>666558.03888385941</v>
      </c>
      <c r="I727" s="727">
        <f t="shared" si="43"/>
        <v>0</v>
      </c>
      <c r="J727" s="1282"/>
      <c r="K727" s="1283">
        <v>780577</v>
      </c>
      <c r="L727" s="1286"/>
      <c r="M727" s="1283">
        <v>780577</v>
      </c>
      <c r="N727" s="1287"/>
      <c r="O727" s="733"/>
    </row>
    <row r="728" spans="1:15">
      <c r="B728" s="332"/>
      <c r="C728" s="723">
        <f>IF(D720="","-",+C727+1)</f>
        <v>2017</v>
      </c>
      <c r="D728" s="674">
        <f t="shared" si="44"/>
        <v>5362171.6304347822</v>
      </c>
      <c r="E728" s="730">
        <f t="shared" ref="E728:E785" si="47">IF(D728&gt;$I$723,$I$723,D728)</f>
        <v>119159.36956521739</v>
      </c>
      <c r="F728" s="674">
        <f t="shared" si="42"/>
        <v>5243012.2608695645</v>
      </c>
      <c r="G728" s="1265">
        <f t="shared" si="45"/>
        <v>654527.29889883439</v>
      </c>
      <c r="H728" s="1268">
        <f t="shared" si="46"/>
        <v>654527.29889883439</v>
      </c>
      <c r="I728" s="727">
        <f t="shared" si="43"/>
        <v>0</v>
      </c>
      <c r="J728" s="727"/>
      <c r="K728" s="877">
        <v>779062</v>
      </c>
      <c r="L728" s="1278"/>
      <c r="M728" s="877">
        <v>779062</v>
      </c>
      <c r="N728" s="733"/>
      <c r="O728" s="733"/>
    </row>
    <row r="729" spans="1:15">
      <c r="B729" s="332"/>
      <c r="C729" s="1269">
        <f>IF(D720="","-",+C728+1)</f>
        <v>2018</v>
      </c>
      <c r="D729" s="1270">
        <f t="shared" si="44"/>
        <v>5243012.2608695645</v>
      </c>
      <c r="E729" s="1271">
        <f t="shared" si="47"/>
        <v>119159.36956521739</v>
      </c>
      <c r="F729" s="1270">
        <f t="shared" si="42"/>
        <v>5123852.8913043467</v>
      </c>
      <c r="G729" s="1272">
        <f t="shared" si="45"/>
        <v>642496.55891380913</v>
      </c>
      <c r="H729" s="1273">
        <f t="shared" si="46"/>
        <v>642496.55891380913</v>
      </c>
      <c r="I729" s="1279">
        <f t="shared" si="43"/>
        <v>0</v>
      </c>
      <c r="J729" s="727"/>
      <c r="K729" s="877"/>
      <c r="L729" s="733"/>
      <c r="M729" s="877"/>
      <c r="N729" s="733"/>
      <c r="O729" s="733"/>
    </row>
    <row r="730" spans="1:15">
      <c r="B730" s="332"/>
      <c r="C730" s="723">
        <f>IF(D720="","-",+C729+1)</f>
        <v>2019</v>
      </c>
      <c r="D730" s="674">
        <f t="shared" si="44"/>
        <v>5123852.8913043467</v>
      </c>
      <c r="E730" s="730">
        <f t="shared" si="47"/>
        <v>119159.36956521739</v>
      </c>
      <c r="F730" s="674">
        <f t="shared" si="42"/>
        <v>5004693.521739129</v>
      </c>
      <c r="G730" s="1265">
        <f t="shared" si="45"/>
        <v>630465.81892878411</v>
      </c>
      <c r="H730" s="1268">
        <f t="shared" si="46"/>
        <v>630465.81892878411</v>
      </c>
      <c r="I730" s="727">
        <f t="shared" si="43"/>
        <v>0</v>
      </c>
      <c r="J730" s="727"/>
      <c r="K730" s="877"/>
      <c r="L730" s="733"/>
      <c r="M730" s="877"/>
      <c r="N730" s="733"/>
      <c r="O730" s="733"/>
    </row>
    <row r="731" spans="1:15">
      <c r="B731" s="332"/>
      <c r="C731" s="723">
        <f>IF(D720="","-",+C730+1)</f>
        <v>2020</v>
      </c>
      <c r="D731" s="674">
        <f t="shared" si="44"/>
        <v>5004693.521739129</v>
      </c>
      <c r="E731" s="730">
        <f t="shared" si="47"/>
        <v>119159.36956521739</v>
      </c>
      <c r="F731" s="674">
        <f t="shared" si="42"/>
        <v>4885534.1521739112</v>
      </c>
      <c r="G731" s="1265">
        <f t="shared" si="45"/>
        <v>618435.07894375885</v>
      </c>
      <c r="H731" s="1268">
        <f t="shared" si="46"/>
        <v>618435.07894375885</v>
      </c>
      <c r="I731" s="727">
        <f t="shared" si="43"/>
        <v>0</v>
      </c>
      <c r="J731" s="727"/>
      <c r="K731" s="877"/>
      <c r="L731" s="733"/>
      <c r="M731" s="877"/>
      <c r="N731" s="733"/>
      <c r="O731" s="733"/>
    </row>
    <row r="732" spans="1:15">
      <c r="B732" s="332"/>
      <c r="C732" s="723">
        <f>IF(D720="","-",+C731+1)</f>
        <v>2021</v>
      </c>
      <c r="D732" s="674">
        <f t="shared" si="44"/>
        <v>4885534.1521739112</v>
      </c>
      <c r="E732" s="730">
        <f t="shared" si="47"/>
        <v>119159.36956521739</v>
      </c>
      <c r="F732" s="674">
        <f t="shared" si="42"/>
        <v>4766374.7826086935</v>
      </c>
      <c r="G732" s="1265">
        <f t="shared" si="45"/>
        <v>606404.33895873383</v>
      </c>
      <c r="H732" s="1268">
        <f t="shared" si="46"/>
        <v>606404.33895873383</v>
      </c>
      <c r="I732" s="727">
        <f t="shared" si="43"/>
        <v>0</v>
      </c>
      <c r="J732" s="727"/>
      <c r="K732" s="877"/>
      <c r="L732" s="733"/>
      <c r="M732" s="877"/>
      <c r="N732" s="733"/>
      <c r="O732" s="733"/>
    </row>
    <row r="733" spans="1:15">
      <c r="B733" s="332"/>
      <c r="C733" s="723">
        <f>IF(D720="","-",+C732+1)</f>
        <v>2022</v>
      </c>
      <c r="D733" s="674">
        <f t="shared" si="44"/>
        <v>4766374.7826086935</v>
      </c>
      <c r="E733" s="730">
        <f t="shared" si="47"/>
        <v>119159.36956521739</v>
      </c>
      <c r="F733" s="674">
        <f t="shared" si="42"/>
        <v>4647215.4130434757</v>
      </c>
      <c r="G733" s="1265">
        <f t="shared" si="45"/>
        <v>594373.59897370858</v>
      </c>
      <c r="H733" s="1268">
        <f t="shared" si="46"/>
        <v>594373.59897370858</v>
      </c>
      <c r="I733" s="727">
        <f t="shared" si="43"/>
        <v>0</v>
      </c>
      <c r="J733" s="727"/>
      <c r="K733" s="877"/>
      <c r="L733" s="733"/>
      <c r="M733" s="877"/>
      <c r="N733" s="733"/>
      <c r="O733" s="733"/>
    </row>
    <row r="734" spans="1:15">
      <c r="B734" s="332"/>
      <c r="C734" s="723">
        <f>IF(D720="","-",+C733+1)</f>
        <v>2023</v>
      </c>
      <c r="D734" s="674">
        <f t="shared" si="44"/>
        <v>4647215.4130434757</v>
      </c>
      <c r="E734" s="730">
        <f t="shared" si="47"/>
        <v>119159.36956521739</v>
      </c>
      <c r="F734" s="674">
        <f t="shared" si="42"/>
        <v>4528056.043478258</v>
      </c>
      <c r="G734" s="1265">
        <f t="shared" si="45"/>
        <v>582342.85898868355</v>
      </c>
      <c r="H734" s="1268">
        <f t="shared" si="46"/>
        <v>582342.85898868355</v>
      </c>
      <c r="I734" s="727">
        <f t="shared" si="43"/>
        <v>0</v>
      </c>
      <c r="J734" s="727"/>
      <c r="K734" s="877"/>
      <c r="L734" s="733"/>
      <c r="M734" s="877"/>
      <c r="N734" s="733"/>
      <c r="O734" s="733"/>
    </row>
    <row r="735" spans="1:15">
      <c r="B735" s="332"/>
      <c r="C735" s="723">
        <f>IF(D720="","-",+C734+1)</f>
        <v>2024</v>
      </c>
      <c r="D735" s="674">
        <f t="shared" si="44"/>
        <v>4528056.043478258</v>
      </c>
      <c r="E735" s="730">
        <f t="shared" si="47"/>
        <v>119159.36956521739</v>
      </c>
      <c r="F735" s="674">
        <f t="shared" si="42"/>
        <v>4408896.6739130402</v>
      </c>
      <c r="G735" s="1265">
        <f t="shared" si="45"/>
        <v>570312.1190036583</v>
      </c>
      <c r="H735" s="1268">
        <f t="shared" si="46"/>
        <v>570312.1190036583</v>
      </c>
      <c r="I735" s="727">
        <f t="shared" si="43"/>
        <v>0</v>
      </c>
      <c r="J735" s="727"/>
      <c r="K735" s="877"/>
      <c r="L735" s="733"/>
      <c r="M735" s="877"/>
      <c r="N735" s="733"/>
      <c r="O735" s="733"/>
    </row>
    <row r="736" spans="1:15">
      <c r="B736" s="332"/>
      <c r="C736" s="723">
        <f>IF(D720="","-",+C735+1)</f>
        <v>2025</v>
      </c>
      <c r="D736" s="674">
        <f t="shared" si="44"/>
        <v>4408896.6739130402</v>
      </c>
      <c r="E736" s="730">
        <f t="shared" si="47"/>
        <v>119159.36956521739</v>
      </c>
      <c r="F736" s="674">
        <f t="shared" si="42"/>
        <v>4289737.3043478224</v>
      </c>
      <c r="G736" s="1265">
        <f t="shared" si="45"/>
        <v>558281.37901863328</v>
      </c>
      <c r="H736" s="1268">
        <f t="shared" si="46"/>
        <v>558281.37901863328</v>
      </c>
      <c r="I736" s="727">
        <f t="shared" si="43"/>
        <v>0</v>
      </c>
      <c r="J736" s="727"/>
      <c r="K736" s="877"/>
      <c r="L736" s="733"/>
      <c r="M736" s="877"/>
      <c r="N736" s="733"/>
      <c r="O736" s="733"/>
    </row>
    <row r="737" spans="2:15">
      <c r="B737" s="332"/>
      <c r="C737" s="723">
        <f>IF(D720="","-",+C736+1)</f>
        <v>2026</v>
      </c>
      <c r="D737" s="674">
        <f t="shared" si="44"/>
        <v>4289737.3043478224</v>
      </c>
      <c r="E737" s="730">
        <f t="shared" si="47"/>
        <v>119159.36956521739</v>
      </c>
      <c r="F737" s="674">
        <f t="shared" si="42"/>
        <v>4170577.9347826052</v>
      </c>
      <c r="G737" s="1265">
        <f t="shared" si="45"/>
        <v>546250.63903360814</v>
      </c>
      <c r="H737" s="1268">
        <f t="shared" si="46"/>
        <v>546250.63903360814</v>
      </c>
      <c r="I737" s="727">
        <f t="shared" si="43"/>
        <v>0</v>
      </c>
      <c r="J737" s="727"/>
      <c r="K737" s="877"/>
      <c r="L737" s="733"/>
      <c r="M737" s="877"/>
      <c r="N737" s="733"/>
      <c r="O737" s="733"/>
    </row>
    <row r="738" spans="2:15">
      <c r="B738" s="332"/>
      <c r="C738" s="723">
        <f>IF(D720="","-",+C737+1)</f>
        <v>2027</v>
      </c>
      <c r="D738" s="674">
        <f t="shared" si="44"/>
        <v>4170577.9347826052</v>
      </c>
      <c r="E738" s="730">
        <f t="shared" si="47"/>
        <v>119159.36956521739</v>
      </c>
      <c r="F738" s="674">
        <f t="shared" si="42"/>
        <v>4051418.5652173879</v>
      </c>
      <c r="G738" s="1265">
        <f t="shared" si="45"/>
        <v>534219.899048583</v>
      </c>
      <c r="H738" s="1268">
        <f t="shared" si="46"/>
        <v>534219.899048583</v>
      </c>
      <c r="I738" s="727">
        <f t="shared" si="43"/>
        <v>0</v>
      </c>
      <c r="J738" s="727"/>
      <c r="K738" s="877"/>
      <c r="L738" s="733"/>
      <c r="M738" s="877"/>
      <c r="N738" s="734"/>
      <c r="O738" s="733"/>
    </row>
    <row r="739" spans="2:15">
      <c r="B739" s="332"/>
      <c r="C739" s="723">
        <f>IF(D720="","-",+C738+1)</f>
        <v>2028</v>
      </c>
      <c r="D739" s="674">
        <f t="shared" si="44"/>
        <v>4051418.5652173879</v>
      </c>
      <c r="E739" s="730">
        <f t="shared" si="47"/>
        <v>119159.36956521739</v>
      </c>
      <c r="F739" s="674">
        <f t="shared" si="42"/>
        <v>3932259.1956521706</v>
      </c>
      <c r="G739" s="1265">
        <f t="shared" si="45"/>
        <v>522189.15906355798</v>
      </c>
      <c r="H739" s="1268">
        <f t="shared" si="46"/>
        <v>522189.15906355798</v>
      </c>
      <c r="I739" s="727">
        <f t="shared" si="43"/>
        <v>0</v>
      </c>
      <c r="J739" s="727"/>
      <c r="K739" s="877"/>
      <c r="L739" s="733"/>
      <c r="M739" s="877"/>
      <c r="N739" s="733"/>
      <c r="O739" s="733"/>
    </row>
    <row r="740" spans="2:15">
      <c r="B740" s="332"/>
      <c r="C740" s="723">
        <f>IF(D720="","-",+C739+1)</f>
        <v>2029</v>
      </c>
      <c r="D740" s="674">
        <f t="shared" si="44"/>
        <v>3932259.1956521706</v>
      </c>
      <c r="E740" s="730">
        <f t="shared" si="47"/>
        <v>119159.36956521739</v>
      </c>
      <c r="F740" s="674">
        <f t="shared" si="42"/>
        <v>3813099.8260869533</v>
      </c>
      <c r="G740" s="1265">
        <f t="shared" si="45"/>
        <v>510158.41907853284</v>
      </c>
      <c r="H740" s="1268">
        <f t="shared" si="46"/>
        <v>510158.41907853284</v>
      </c>
      <c r="I740" s="727">
        <f t="shared" si="43"/>
        <v>0</v>
      </c>
      <c r="J740" s="727"/>
      <c r="K740" s="877"/>
      <c r="L740" s="733"/>
      <c r="M740" s="877"/>
      <c r="N740" s="733"/>
      <c r="O740" s="733"/>
    </row>
    <row r="741" spans="2:15">
      <c r="B741" s="332"/>
      <c r="C741" s="723">
        <f>IF(D720="","-",+C740+1)</f>
        <v>2030</v>
      </c>
      <c r="D741" s="674">
        <f t="shared" si="44"/>
        <v>3813099.8260869533</v>
      </c>
      <c r="E741" s="730">
        <f t="shared" si="47"/>
        <v>119159.36956521739</v>
      </c>
      <c r="F741" s="674">
        <f t="shared" si="42"/>
        <v>3693940.456521736</v>
      </c>
      <c r="G741" s="1265">
        <f t="shared" si="45"/>
        <v>498127.67909350782</v>
      </c>
      <c r="H741" s="1268">
        <f t="shared" si="46"/>
        <v>498127.67909350782</v>
      </c>
      <c r="I741" s="727">
        <f t="shared" si="43"/>
        <v>0</v>
      </c>
      <c r="J741" s="727"/>
      <c r="K741" s="877"/>
      <c r="L741" s="733"/>
      <c r="M741" s="877"/>
      <c r="N741" s="733"/>
      <c r="O741" s="733"/>
    </row>
    <row r="742" spans="2:15">
      <c r="B742" s="332"/>
      <c r="C742" s="723">
        <f>IF(D720="","-",+C741+1)</f>
        <v>2031</v>
      </c>
      <c r="D742" s="674">
        <f t="shared" si="44"/>
        <v>3693940.456521736</v>
      </c>
      <c r="E742" s="730">
        <f t="shared" si="47"/>
        <v>119159.36956521739</v>
      </c>
      <c r="F742" s="674">
        <f t="shared" si="42"/>
        <v>3574781.0869565187</v>
      </c>
      <c r="G742" s="1265">
        <f t="shared" si="45"/>
        <v>486096.93910848268</v>
      </c>
      <c r="H742" s="1268">
        <f t="shared" si="46"/>
        <v>486096.93910848268</v>
      </c>
      <c r="I742" s="727">
        <f t="shared" si="43"/>
        <v>0</v>
      </c>
      <c r="J742" s="727"/>
      <c r="K742" s="877"/>
      <c r="L742" s="733"/>
      <c r="M742" s="877"/>
      <c r="N742" s="733"/>
      <c r="O742" s="733"/>
    </row>
    <row r="743" spans="2:15">
      <c r="B743" s="332"/>
      <c r="C743" s="723">
        <f>IF(D720="","-",+C742+1)</f>
        <v>2032</v>
      </c>
      <c r="D743" s="674">
        <f t="shared" si="44"/>
        <v>3574781.0869565187</v>
      </c>
      <c r="E743" s="730">
        <f t="shared" si="47"/>
        <v>119159.36956521739</v>
      </c>
      <c r="F743" s="674">
        <f t="shared" si="42"/>
        <v>3455621.7173913014</v>
      </c>
      <c r="G743" s="1265">
        <f t="shared" si="45"/>
        <v>474066.1991234576</v>
      </c>
      <c r="H743" s="1268">
        <f t="shared" si="46"/>
        <v>474066.1991234576</v>
      </c>
      <c r="I743" s="727">
        <f t="shared" si="43"/>
        <v>0</v>
      </c>
      <c r="J743" s="727"/>
      <c r="K743" s="877"/>
      <c r="L743" s="733"/>
      <c r="M743" s="877"/>
      <c r="N743" s="733"/>
      <c r="O743" s="733"/>
    </row>
    <row r="744" spans="2:15">
      <c r="B744" s="332"/>
      <c r="C744" s="723">
        <f>IF(D720="","-",+C743+1)</f>
        <v>2033</v>
      </c>
      <c r="D744" s="674">
        <f t="shared" si="44"/>
        <v>3455621.7173913014</v>
      </c>
      <c r="E744" s="730">
        <f t="shared" si="47"/>
        <v>119159.36956521739</v>
      </c>
      <c r="F744" s="674">
        <f t="shared" si="42"/>
        <v>3336462.3478260841</v>
      </c>
      <c r="G744" s="1265">
        <f t="shared" si="45"/>
        <v>462035.45913843246</v>
      </c>
      <c r="H744" s="1268">
        <f t="shared" si="46"/>
        <v>462035.45913843246</v>
      </c>
      <c r="I744" s="727">
        <f t="shared" si="43"/>
        <v>0</v>
      </c>
      <c r="J744" s="727"/>
      <c r="K744" s="877"/>
      <c r="L744" s="733"/>
      <c r="M744" s="877"/>
      <c r="N744" s="733"/>
      <c r="O744" s="733"/>
    </row>
    <row r="745" spans="2:15">
      <c r="B745" s="332"/>
      <c r="C745" s="723">
        <f>IF(D720="","-",+C744+1)</f>
        <v>2034</v>
      </c>
      <c r="D745" s="674">
        <f t="shared" si="44"/>
        <v>3336462.3478260841</v>
      </c>
      <c r="E745" s="730">
        <f t="shared" si="47"/>
        <v>119159.36956521739</v>
      </c>
      <c r="F745" s="674">
        <f t="shared" si="42"/>
        <v>3217302.9782608668</v>
      </c>
      <c r="G745" s="1265">
        <f t="shared" si="45"/>
        <v>450004.71915340744</v>
      </c>
      <c r="H745" s="1268">
        <f t="shared" si="46"/>
        <v>450004.71915340744</v>
      </c>
      <c r="I745" s="727">
        <f t="shared" si="43"/>
        <v>0</v>
      </c>
      <c r="J745" s="727"/>
      <c r="K745" s="877"/>
      <c r="L745" s="733"/>
      <c r="M745" s="877"/>
      <c r="N745" s="733"/>
      <c r="O745" s="733"/>
    </row>
    <row r="746" spans="2:15">
      <c r="B746" s="332"/>
      <c r="C746" s="723">
        <f>IF(D720="","-",+C745+1)</f>
        <v>2035</v>
      </c>
      <c r="D746" s="674">
        <f t="shared" si="44"/>
        <v>3217302.9782608668</v>
      </c>
      <c r="E746" s="730">
        <f t="shared" si="47"/>
        <v>119159.36956521739</v>
      </c>
      <c r="F746" s="674">
        <f t="shared" si="42"/>
        <v>3098143.6086956495</v>
      </c>
      <c r="G746" s="1265">
        <f t="shared" si="45"/>
        <v>437973.9791683823</v>
      </c>
      <c r="H746" s="1268">
        <f t="shared" si="46"/>
        <v>437973.9791683823</v>
      </c>
      <c r="I746" s="727">
        <f t="shared" si="43"/>
        <v>0</v>
      </c>
      <c r="J746" s="727"/>
      <c r="K746" s="877"/>
      <c r="L746" s="733"/>
      <c r="M746" s="877"/>
      <c r="N746" s="733"/>
      <c r="O746" s="733"/>
    </row>
    <row r="747" spans="2:15">
      <c r="B747" s="332"/>
      <c r="C747" s="723">
        <f>IF(D720="","-",+C746+1)</f>
        <v>2036</v>
      </c>
      <c r="D747" s="674">
        <f t="shared" si="44"/>
        <v>3098143.6086956495</v>
      </c>
      <c r="E747" s="730">
        <f t="shared" si="47"/>
        <v>119159.36956521739</v>
      </c>
      <c r="F747" s="674">
        <f t="shared" si="42"/>
        <v>2978984.2391304323</v>
      </c>
      <c r="G747" s="1265">
        <f t="shared" si="45"/>
        <v>425943.23918335722</v>
      </c>
      <c r="H747" s="1268">
        <f t="shared" si="46"/>
        <v>425943.23918335722</v>
      </c>
      <c r="I747" s="727">
        <f t="shared" si="43"/>
        <v>0</v>
      </c>
      <c r="J747" s="727"/>
      <c r="K747" s="877"/>
      <c r="L747" s="733"/>
      <c r="M747" s="877"/>
      <c r="N747" s="733"/>
      <c r="O747" s="733"/>
    </row>
    <row r="748" spans="2:15">
      <c r="B748" s="332"/>
      <c r="C748" s="723">
        <f>IF(D720="","-",+C747+1)</f>
        <v>2037</v>
      </c>
      <c r="D748" s="674">
        <f t="shared" si="44"/>
        <v>2978984.2391304323</v>
      </c>
      <c r="E748" s="730">
        <f t="shared" si="47"/>
        <v>119159.36956521739</v>
      </c>
      <c r="F748" s="674">
        <f t="shared" si="42"/>
        <v>2859824.869565215</v>
      </c>
      <c r="G748" s="1265">
        <f t="shared" si="45"/>
        <v>413912.49919833208</v>
      </c>
      <c r="H748" s="1268">
        <f t="shared" si="46"/>
        <v>413912.49919833208</v>
      </c>
      <c r="I748" s="727">
        <f t="shared" si="43"/>
        <v>0</v>
      </c>
      <c r="J748" s="727"/>
      <c r="K748" s="877"/>
      <c r="L748" s="733"/>
      <c r="M748" s="877"/>
      <c r="N748" s="733"/>
      <c r="O748" s="733"/>
    </row>
    <row r="749" spans="2:15">
      <c r="B749" s="332"/>
      <c r="C749" s="723">
        <f>IF(D720="","-",+C748+1)</f>
        <v>2038</v>
      </c>
      <c r="D749" s="674">
        <f t="shared" si="44"/>
        <v>2859824.869565215</v>
      </c>
      <c r="E749" s="730">
        <f t="shared" si="47"/>
        <v>119159.36956521739</v>
      </c>
      <c r="F749" s="674">
        <f t="shared" si="42"/>
        <v>2740665.4999999977</v>
      </c>
      <c r="G749" s="1265">
        <f t="shared" si="45"/>
        <v>401881.75921330706</v>
      </c>
      <c r="H749" s="1268">
        <f t="shared" si="46"/>
        <v>401881.75921330706</v>
      </c>
      <c r="I749" s="727">
        <f t="shared" si="43"/>
        <v>0</v>
      </c>
      <c r="J749" s="727"/>
      <c r="K749" s="877"/>
      <c r="L749" s="733"/>
      <c r="M749" s="877"/>
      <c r="N749" s="733"/>
      <c r="O749" s="733"/>
    </row>
    <row r="750" spans="2:15">
      <c r="B750" s="332"/>
      <c r="C750" s="723">
        <f>IF(D720="","-",+C749+1)</f>
        <v>2039</v>
      </c>
      <c r="D750" s="674">
        <f t="shared" si="44"/>
        <v>2740665.4999999977</v>
      </c>
      <c r="E750" s="730">
        <f t="shared" si="47"/>
        <v>119159.36956521739</v>
      </c>
      <c r="F750" s="674">
        <f t="shared" si="42"/>
        <v>2621506.1304347804</v>
      </c>
      <c r="G750" s="1265">
        <f t="shared" si="45"/>
        <v>389851.01922828192</v>
      </c>
      <c r="H750" s="1268">
        <f t="shared" si="46"/>
        <v>389851.01922828192</v>
      </c>
      <c r="I750" s="727">
        <f t="shared" si="43"/>
        <v>0</v>
      </c>
      <c r="J750" s="727"/>
      <c r="K750" s="877"/>
      <c r="L750" s="733"/>
      <c r="M750" s="877"/>
      <c r="N750" s="733"/>
      <c r="O750" s="733"/>
    </row>
    <row r="751" spans="2:15">
      <c r="B751" s="332"/>
      <c r="C751" s="723">
        <f>IF(D720="","-",+C750+1)</f>
        <v>2040</v>
      </c>
      <c r="D751" s="674">
        <f t="shared" si="44"/>
        <v>2621506.1304347804</v>
      </c>
      <c r="E751" s="730">
        <f t="shared" si="47"/>
        <v>119159.36956521739</v>
      </c>
      <c r="F751" s="674">
        <f t="shared" si="42"/>
        <v>2502346.7608695631</v>
      </c>
      <c r="G751" s="1265">
        <f t="shared" si="45"/>
        <v>377820.27924325684</v>
      </c>
      <c r="H751" s="1268">
        <f t="shared" si="46"/>
        <v>377820.27924325684</v>
      </c>
      <c r="I751" s="727">
        <f t="shared" si="43"/>
        <v>0</v>
      </c>
      <c r="J751" s="727"/>
      <c r="K751" s="877"/>
      <c r="L751" s="733"/>
      <c r="M751" s="877"/>
      <c r="N751" s="733"/>
      <c r="O751" s="733"/>
    </row>
    <row r="752" spans="2:15">
      <c r="B752" s="332"/>
      <c r="C752" s="723">
        <f>IF(D720="","-",+C751+1)</f>
        <v>2041</v>
      </c>
      <c r="D752" s="674">
        <f t="shared" si="44"/>
        <v>2502346.7608695631</v>
      </c>
      <c r="E752" s="730">
        <f t="shared" si="47"/>
        <v>119159.36956521739</v>
      </c>
      <c r="F752" s="674">
        <f t="shared" si="42"/>
        <v>2383187.3913043458</v>
      </c>
      <c r="G752" s="1265">
        <f t="shared" si="45"/>
        <v>365789.5392582317</v>
      </c>
      <c r="H752" s="1268">
        <f t="shared" si="46"/>
        <v>365789.5392582317</v>
      </c>
      <c r="I752" s="727">
        <f t="shared" si="43"/>
        <v>0</v>
      </c>
      <c r="J752" s="727"/>
      <c r="K752" s="877"/>
      <c r="L752" s="733"/>
      <c r="M752" s="877"/>
      <c r="N752" s="733"/>
      <c r="O752" s="733"/>
    </row>
    <row r="753" spans="2:15">
      <c r="B753" s="332"/>
      <c r="C753" s="723">
        <f>IF(D720="","-",+C752+1)</f>
        <v>2042</v>
      </c>
      <c r="D753" s="674">
        <f t="shared" si="44"/>
        <v>2383187.3913043458</v>
      </c>
      <c r="E753" s="730">
        <f t="shared" si="47"/>
        <v>119159.36956521739</v>
      </c>
      <c r="F753" s="674">
        <f t="shared" si="42"/>
        <v>2264028.0217391285</v>
      </c>
      <c r="G753" s="1265">
        <f t="shared" si="45"/>
        <v>353758.79927320668</v>
      </c>
      <c r="H753" s="1268">
        <f t="shared" si="46"/>
        <v>353758.79927320668</v>
      </c>
      <c r="I753" s="727">
        <f t="shared" si="43"/>
        <v>0</v>
      </c>
      <c r="J753" s="727"/>
      <c r="K753" s="877"/>
      <c r="L753" s="733"/>
      <c r="M753" s="877"/>
      <c r="N753" s="733"/>
      <c r="O753" s="733"/>
    </row>
    <row r="754" spans="2:15">
      <c r="B754" s="332"/>
      <c r="C754" s="723">
        <f>IF(D720="","-",+C753+1)</f>
        <v>2043</v>
      </c>
      <c r="D754" s="674">
        <f t="shared" si="44"/>
        <v>2264028.0217391285</v>
      </c>
      <c r="E754" s="730">
        <f t="shared" si="47"/>
        <v>119159.36956521739</v>
      </c>
      <c r="F754" s="674">
        <f t="shared" si="42"/>
        <v>2144868.6521739112</v>
      </c>
      <c r="G754" s="1274">
        <f t="shared" si="45"/>
        <v>341728.05928818154</v>
      </c>
      <c r="H754" s="1268">
        <f t="shared" si="46"/>
        <v>341728.05928818154</v>
      </c>
      <c r="I754" s="727">
        <f t="shared" si="43"/>
        <v>0</v>
      </c>
      <c r="J754" s="727"/>
      <c r="K754" s="877"/>
      <c r="L754" s="733"/>
      <c r="M754" s="877"/>
      <c r="N754" s="733"/>
      <c r="O754" s="733"/>
    </row>
    <row r="755" spans="2:15">
      <c r="B755" s="332"/>
      <c r="C755" s="723">
        <f>IF(D720="","-",+C754+1)</f>
        <v>2044</v>
      </c>
      <c r="D755" s="674">
        <f t="shared" si="44"/>
        <v>2144868.6521739112</v>
      </c>
      <c r="E755" s="730">
        <f t="shared" si="47"/>
        <v>119159.36956521739</v>
      </c>
      <c r="F755" s="674">
        <f t="shared" si="42"/>
        <v>2025709.2826086939</v>
      </c>
      <c r="G755" s="1265">
        <f t="shared" si="45"/>
        <v>329697.31930315646</v>
      </c>
      <c r="H755" s="1268">
        <f t="shared" si="46"/>
        <v>329697.31930315646</v>
      </c>
      <c r="I755" s="727">
        <f t="shared" si="43"/>
        <v>0</v>
      </c>
      <c r="J755" s="727"/>
      <c r="K755" s="877"/>
      <c r="L755" s="733"/>
      <c r="M755" s="877"/>
      <c r="N755" s="733"/>
      <c r="O755" s="733"/>
    </row>
    <row r="756" spans="2:15">
      <c r="B756" s="332"/>
      <c r="C756" s="723">
        <f>IF(D720="","-",+C755+1)</f>
        <v>2045</v>
      </c>
      <c r="D756" s="674">
        <f t="shared" si="44"/>
        <v>2025709.2826086939</v>
      </c>
      <c r="E756" s="730">
        <f t="shared" si="47"/>
        <v>119159.36956521739</v>
      </c>
      <c r="F756" s="674">
        <f t="shared" si="42"/>
        <v>1906549.9130434766</v>
      </c>
      <c r="G756" s="1265">
        <f t="shared" si="45"/>
        <v>317666.57931813138</v>
      </c>
      <c r="H756" s="1268">
        <f t="shared" si="46"/>
        <v>317666.57931813138</v>
      </c>
      <c r="I756" s="727">
        <f t="shared" si="43"/>
        <v>0</v>
      </c>
      <c r="J756" s="727"/>
      <c r="K756" s="877"/>
      <c r="L756" s="733"/>
      <c r="M756" s="877"/>
      <c r="N756" s="733"/>
      <c r="O756" s="733"/>
    </row>
    <row r="757" spans="2:15">
      <c r="B757" s="332"/>
      <c r="C757" s="723">
        <f>IF(D720="","-",+C756+1)</f>
        <v>2046</v>
      </c>
      <c r="D757" s="674">
        <f t="shared" si="44"/>
        <v>1906549.9130434766</v>
      </c>
      <c r="E757" s="730">
        <f t="shared" si="47"/>
        <v>119159.36956521739</v>
      </c>
      <c r="F757" s="674">
        <f t="shared" si="42"/>
        <v>1787390.5434782594</v>
      </c>
      <c r="G757" s="1265">
        <f t="shared" si="45"/>
        <v>305635.8393331063</v>
      </c>
      <c r="H757" s="1268">
        <f t="shared" si="46"/>
        <v>305635.8393331063</v>
      </c>
      <c r="I757" s="727">
        <f t="shared" si="43"/>
        <v>0</v>
      </c>
      <c r="J757" s="727"/>
      <c r="K757" s="877"/>
      <c r="L757" s="733"/>
      <c r="M757" s="877"/>
      <c r="N757" s="733"/>
      <c r="O757" s="733"/>
    </row>
    <row r="758" spans="2:15">
      <c r="B758" s="332"/>
      <c r="C758" s="723">
        <f>IF(D720="","-",+C757+1)</f>
        <v>2047</v>
      </c>
      <c r="D758" s="674">
        <f t="shared" si="44"/>
        <v>1787390.5434782594</v>
      </c>
      <c r="E758" s="730">
        <f t="shared" si="47"/>
        <v>119159.36956521739</v>
      </c>
      <c r="F758" s="674">
        <f t="shared" si="42"/>
        <v>1668231.1739130421</v>
      </c>
      <c r="G758" s="1265">
        <f t="shared" si="45"/>
        <v>293605.09934808122</v>
      </c>
      <c r="H758" s="1268">
        <f t="shared" si="46"/>
        <v>293605.09934808122</v>
      </c>
      <c r="I758" s="727">
        <f t="shared" si="43"/>
        <v>0</v>
      </c>
      <c r="J758" s="727"/>
      <c r="K758" s="877"/>
      <c r="L758" s="733"/>
      <c r="M758" s="877"/>
      <c r="N758" s="733"/>
      <c r="O758" s="733"/>
    </row>
    <row r="759" spans="2:15">
      <c r="B759" s="332"/>
      <c r="C759" s="723">
        <f>IF(D720="","-",+C758+1)</f>
        <v>2048</v>
      </c>
      <c r="D759" s="674">
        <f t="shared" si="44"/>
        <v>1668231.1739130421</v>
      </c>
      <c r="E759" s="730">
        <f t="shared" si="47"/>
        <v>119159.36956521739</v>
      </c>
      <c r="F759" s="674">
        <f t="shared" si="42"/>
        <v>1549071.8043478248</v>
      </c>
      <c r="G759" s="1265">
        <f t="shared" si="45"/>
        <v>281574.35936305614</v>
      </c>
      <c r="H759" s="1268">
        <f t="shared" si="46"/>
        <v>281574.35936305614</v>
      </c>
      <c r="I759" s="727">
        <f t="shared" si="43"/>
        <v>0</v>
      </c>
      <c r="J759" s="727"/>
      <c r="K759" s="877"/>
      <c r="L759" s="733"/>
      <c r="M759" s="877"/>
      <c r="N759" s="733"/>
      <c r="O759" s="733"/>
    </row>
    <row r="760" spans="2:15">
      <c r="B760" s="332"/>
      <c r="C760" s="723">
        <f>IF(D720="","-",+C759+1)</f>
        <v>2049</v>
      </c>
      <c r="D760" s="674">
        <f t="shared" si="44"/>
        <v>1549071.8043478248</v>
      </c>
      <c r="E760" s="730">
        <f t="shared" si="47"/>
        <v>119159.36956521739</v>
      </c>
      <c r="F760" s="674">
        <f t="shared" si="42"/>
        <v>1429912.4347826075</v>
      </c>
      <c r="G760" s="1265">
        <f t="shared" si="45"/>
        <v>269543.619378031</v>
      </c>
      <c r="H760" s="1268">
        <f t="shared" si="46"/>
        <v>269543.619378031</v>
      </c>
      <c r="I760" s="727">
        <f t="shared" si="43"/>
        <v>0</v>
      </c>
      <c r="J760" s="727"/>
      <c r="K760" s="877"/>
      <c r="L760" s="733"/>
      <c r="M760" s="877"/>
      <c r="N760" s="733"/>
      <c r="O760" s="733"/>
    </row>
    <row r="761" spans="2:15">
      <c r="B761" s="332"/>
      <c r="C761" s="723">
        <f>IF(D720="","-",+C760+1)</f>
        <v>2050</v>
      </c>
      <c r="D761" s="674">
        <f t="shared" si="44"/>
        <v>1429912.4347826075</v>
      </c>
      <c r="E761" s="730">
        <f t="shared" si="47"/>
        <v>119159.36956521739</v>
      </c>
      <c r="F761" s="674">
        <f t="shared" si="42"/>
        <v>1310753.0652173902</v>
      </c>
      <c r="G761" s="1265">
        <f t="shared" si="45"/>
        <v>257512.87939300592</v>
      </c>
      <c r="H761" s="1268">
        <f t="shared" si="46"/>
        <v>257512.87939300592</v>
      </c>
      <c r="I761" s="727">
        <f t="shared" si="43"/>
        <v>0</v>
      </c>
      <c r="J761" s="727"/>
      <c r="K761" s="877"/>
      <c r="L761" s="733"/>
      <c r="M761" s="877"/>
      <c r="N761" s="733"/>
      <c r="O761" s="733"/>
    </row>
    <row r="762" spans="2:15">
      <c r="B762" s="332"/>
      <c r="C762" s="723">
        <f>IF(D720="","-",+C761+1)</f>
        <v>2051</v>
      </c>
      <c r="D762" s="674">
        <f t="shared" si="44"/>
        <v>1310753.0652173902</v>
      </c>
      <c r="E762" s="730">
        <f t="shared" si="47"/>
        <v>119159.36956521739</v>
      </c>
      <c r="F762" s="674">
        <f t="shared" si="42"/>
        <v>1191593.6956521729</v>
      </c>
      <c r="G762" s="1265">
        <f t="shared" si="45"/>
        <v>245482.13940798084</v>
      </c>
      <c r="H762" s="1268">
        <f t="shared" si="46"/>
        <v>245482.13940798084</v>
      </c>
      <c r="I762" s="727">
        <f t="shared" si="43"/>
        <v>0</v>
      </c>
      <c r="J762" s="727"/>
      <c r="K762" s="877"/>
      <c r="L762" s="733"/>
      <c r="M762" s="877"/>
      <c r="N762" s="733"/>
      <c r="O762" s="733"/>
    </row>
    <row r="763" spans="2:15">
      <c r="B763" s="332"/>
      <c r="C763" s="723">
        <f>IF(D720="","-",+C762+1)</f>
        <v>2052</v>
      </c>
      <c r="D763" s="674">
        <f t="shared" si="44"/>
        <v>1191593.6956521729</v>
      </c>
      <c r="E763" s="730">
        <f t="shared" si="47"/>
        <v>119159.36956521739</v>
      </c>
      <c r="F763" s="674">
        <f t="shared" si="42"/>
        <v>1072434.3260869556</v>
      </c>
      <c r="G763" s="1265">
        <f t="shared" si="45"/>
        <v>233451.39942295576</v>
      </c>
      <c r="H763" s="1268">
        <f t="shared" si="46"/>
        <v>233451.39942295576</v>
      </c>
      <c r="I763" s="727">
        <f t="shared" si="43"/>
        <v>0</v>
      </c>
      <c r="J763" s="727"/>
      <c r="K763" s="877"/>
      <c r="L763" s="733"/>
      <c r="M763" s="877"/>
      <c r="N763" s="733"/>
      <c r="O763" s="733"/>
    </row>
    <row r="764" spans="2:15">
      <c r="B764" s="332"/>
      <c r="C764" s="723">
        <f>IF(D720="","-",+C763+1)</f>
        <v>2053</v>
      </c>
      <c r="D764" s="674">
        <f t="shared" si="44"/>
        <v>1072434.3260869556</v>
      </c>
      <c r="E764" s="730">
        <f t="shared" si="47"/>
        <v>119159.36956521739</v>
      </c>
      <c r="F764" s="674">
        <f t="shared" si="42"/>
        <v>953274.9565217382</v>
      </c>
      <c r="G764" s="1265">
        <f t="shared" si="45"/>
        <v>221420.65943793068</v>
      </c>
      <c r="H764" s="1268">
        <f t="shared" si="46"/>
        <v>221420.65943793068</v>
      </c>
      <c r="I764" s="727">
        <f t="shared" si="43"/>
        <v>0</v>
      </c>
      <c r="J764" s="727"/>
      <c r="K764" s="877"/>
      <c r="L764" s="733"/>
      <c r="M764" s="877"/>
      <c r="N764" s="733"/>
      <c r="O764" s="733"/>
    </row>
    <row r="765" spans="2:15">
      <c r="B765" s="332"/>
      <c r="C765" s="723">
        <f>IF(D720="","-",+C764+1)</f>
        <v>2054</v>
      </c>
      <c r="D765" s="674">
        <f t="shared" si="44"/>
        <v>953274.9565217382</v>
      </c>
      <c r="E765" s="730">
        <f t="shared" si="47"/>
        <v>119159.36956521739</v>
      </c>
      <c r="F765" s="674">
        <f t="shared" si="42"/>
        <v>834115.5869565208</v>
      </c>
      <c r="G765" s="1265">
        <f t="shared" si="45"/>
        <v>209389.91945290554</v>
      </c>
      <c r="H765" s="1268">
        <f t="shared" si="46"/>
        <v>209389.91945290554</v>
      </c>
      <c r="I765" s="727">
        <f t="shared" si="43"/>
        <v>0</v>
      </c>
      <c r="J765" s="727"/>
      <c r="K765" s="877"/>
      <c r="L765" s="733"/>
      <c r="M765" s="877"/>
      <c r="N765" s="733"/>
      <c r="O765" s="733"/>
    </row>
    <row r="766" spans="2:15">
      <c r="B766" s="332"/>
      <c r="C766" s="723">
        <f>IF(D720="","-",+C765+1)</f>
        <v>2055</v>
      </c>
      <c r="D766" s="674">
        <f t="shared" si="44"/>
        <v>834115.5869565208</v>
      </c>
      <c r="E766" s="730">
        <f t="shared" si="47"/>
        <v>119159.36956521739</v>
      </c>
      <c r="F766" s="674">
        <f t="shared" si="42"/>
        <v>714956.21739130339</v>
      </c>
      <c r="G766" s="1265">
        <f t="shared" si="45"/>
        <v>197359.17946788046</v>
      </c>
      <c r="H766" s="1268">
        <f t="shared" si="46"/>
        <v>197359.17946788046</v>
      </c>
      <c r="I766" s="727">
        <f t="shared" si="43"/>
        <v>0</v>
      </c>
      <c r="J766" s="727"/>
      <c r="K766" s="877"/>
      <c r="L766" s="733"/>
      <c r="M766" s="877"/>
      <c r="N766" s="733"/>
      <c r="O766" s="733"/>
    </row>
    <row r="767" spans="2:15">
      <c r="B767" s="332"/>
      <c r="C767" s="723">
        <f>IF(D720="","-",+C766+1)</f>
        <v>2056</v>
      </c>
      <c r="D767" s="674">
        <f t="shared" si="44"/>
        <v>714956.21739130339</v>
      </c>
      <c r="E767" s="730">
        <f t="shared" si="47"/>
        <v>119159.36956521739</v>
      </c>
      <c r="F767" s="674">
        <f t="shared" si="42"/>
        <v>595796.84782608598</v>
      </c>
      <c r="G767" s="1265">
        <f t="shared" si="45"/>
        <v>185328.43948285535</v>
      </c>
      <c r="H767" s="1268">
        <f t="shared" si="46"/>
        <v>185328.43948285535</v>
      </c>
      <c r="I767" s="727">
        <f t="shared" si="43"/>
        <v>0</v>
      </c>
      <c r="J767" s="727"/>
      <c r="K767" s="877"/>
      <c r="L767" s="733"/>
      <c r="M767" s="877"/>
      <c r="N767" s="733"/>
      <c r="O767" s="733"/>
    </row>
    <row r="768" spans="2:15">
      <c r="B768" s="332"/>
      <c r="C768" s="723">
        <f>IF(D720="","-",+C767+1)</f>
        <v>2057</v>
      </c>
      <c r="D768" s="674">
        <f t="shared" si="44"/>
        <v>595796.84782608598</v>
      </c>
      <c r="E768" s="730">
        <f t="shared" si="47"/>
        <v>119159.36956521739</v>
      </c>
      <c r="F768" s="674">
        <f t="shared" si="42"/>
        <v>476637.47826086858</v>
      </c>
      <c r="G768" s="1265">
        <f t="shared" si="45"/>
        <v>173297.69949783024</v>
      </c>
      <c r="H768" s="1268">
        <f t="shared" si="46"/>
        <v>173297.69949783024</v>
      </c>
      <c r="I768" s="727">
        <f t="shared" si="43"/>
        <v>0</v>
      </c>
      <c r="J768" s="727"/>
      <c r="K768" s="877"/>
      <c r="L768" s="733"/>
      <c r="M768" s="877"/>
      <c r="N768" s="733"/>
      <c r="O768" s="733"/>
    </row>
    <row r="769" spans="2:15">
      <c r="B769" s="332"/>
      <c r="C769" s="723">
        <f>IF(D720="","-",+C768+1)</f>
        <v>2058</v>
      </c>
      <c r="D769" s="674">
        <f t="shared" si="44"/>
        <v>476637.47826086858</v>
      </c>
      <c r="E769" s="730">
        <f t="shared" si="47"/>
        <v>119159.36956521739</v>
      </c>
      <c r="F769" s="674">
        <f t="shared" si="42"/>
        <v>357478.10869565117</v>
      </c>
      <c r="G769" s="1265">
        <f t="shared" si="45"/>
        <v>161266.95951280516</v>
      </c>
      <c r="H769" s="1268">
        <f t="shared" si="46"/>
        <v>161266.95951280516</v>
      </c>
      <c r="I769" s="727">
        <f t="shared" si="43"/>
        <v>0</v>
      </c>
      <c r="J769" s="727"/>
      <c r="K769" s="877"/>
      <c r="L769" s="733"/>
      <c r="M769" s="877"/>
      <c r="N769" s="733"/>
      <c r="O769" s="733"/>
    </row>
    <row r="770" spans="2:15">
      <c r="B770" s="332"/>
      <c r="C770" s="723">
        <f>IF(D720="","-",+C769+1)</f>
        <v>2059</v>
      </c>
      <c r="D770" s="674">
        <f t="shared" si="44"/>
        <v>357478.10869565117</v>
      </c>
      <c r="E770" s="730">
        <f t="shared" si="47"/>
        <v>119159.36956521739</v>
      </c>
      <c r="F770" s="674">
        <f t="shared" si="42"/>
        <v>238318.73913043377</v>
      </c>
      <c r="G770" s="1265">
        <f t="shared" si="45"/>
        <v>149236.21952778005</v>
      </c>
      <c r="H770" s="1268">
        <f t="shared" si="46"/>
        <v>149236.21952778005</v>
      </c>
      <c r="I770" s="727">
        <f t="shared" si="43"/>
        <v>0</v>
      </c>
      <c r="J770" s="727"/>
      <c r="K770" s="877"/>
      <c r="L770" s="733"/>
      <c r="M770" s="877"/>
      <c r="N770" s="733"/>
      <c r="O770" s="733"/>
    </row>
    <row r="771" spans="2:15">
      <c r="B771" s="332"/>
      <c r="C771" s="723">
        <f>IF(D720="","-",+C770+1)</f>
        <v>2060</v>
      </c>
      <c r="D771" s="674">
        <f t="shared" si="44"/>
        <v>238318.73913043377</v>
      </c>
      <c r="E771" s="730">
        <f t="shared" si="47"/>
        <v>119159.36956521739</v>
      </c>
      <c r="F771" s="674">
        <f t="shared" si="42"/>
        <v>119159.36956521637</v>
      </c>
      <c r="G771" s="1265">
        <f t="shared" si="45"/>
        <v>137205.47954275494</v>
      </c>
      <c r="H771" s="1268">
        <f t="shared" si="46"/>
        <v>137205.47954275494</v>
      </c>
      <c r="I771" s="727">
        <f t="shared" si="43"/>
        <v>0</v>
      </c>
      <c r="J771" s="727"/>
      <c r="K771" s="877"/>
      <c r="L771" s="733"/>
      <c r="M771" s="877"/>
      <c r="N771" s="733"/>
      <c r="O771" s="733"/>
    </row>
    <row r="772" spans="2:15">
      <c r="B772" s="332"/>
      <c r="C772" s="723">
        <f>IF(D720="","-",+C771+1)</f>
        <v>2061</v>
      </c>
      <c r="D772" s="674">
        <f t="shared" si="44"/>
        <v>119159.36956521637</v>
      </c>
      <c r="E772" s="730">
        <f t="shared" si="47"/>
        <v>119159.36956521637</v>
      </c>
      <c r="F772" s="674">
        <f t="shared" si="42"/>
        <v>0</v>
      </c>
      <c r="G772" s="1265">
        <f t="shared" si="45"/>
        <v>125174.73955772887</v>
      </c>
      <c r="H772" s="1268">
        <f t="shared" si="46"/>
        <v>125174.73955772887</v>
      </c>
      <c r="I772" s="727">
        <f t="shared" si="43"/>
        <v>0</v>
      </c>
      <c r="J772" s="727"/>
      <c r="K772" s="877"/>
      <c r="L772" s="733"/>
      <c r="M772" s="877"/>
      <c r="N772" s="733"/>
      <c r="O772" s="733"/>
    </row>
    <row r="773" spans="2:15">
      <c r="B773" s="332"/>
      <c r="C773" s="723">
        <f>IF(D720="","-",+C772+1)</f>
        <v>2062</v>
      </c>
      <c r="D773" s="674">
        <f t="shared" si="44"/>
        <v>0</v>
      </c>
      <c r="E773" s="730">
        <f t="shared" si="47"/>
        <v>0</v>
      </c>
      <c r="F773" s="674">
        <f t="shared" si="42"/>
        <v>0</v>
      </c>
      <c r="G773" s="1265">
        <f t="shared" si="45"/>
        <v>0</v>
      </c>
      <c r="H773" s="1268">
        <f t="shared" si="46"/>
        <v>0</v>
      </c>
      <c r="I773" s="727">
        <f t="shared" si="43"/>
        <v>0</v>
      </c>
      <c r="J773" s="727"/>
      <c r="K773" s="877"/>
      <c r="L773" s="733"/>
      <c r="M773" s="877"/>
      <c r="N773" s="733"/>
      <c r="O773" s="733"/>
    </row>
    <row r="774" spans="2:15">
      <c r="B774" s="332"/>
      <c r="C774" s="723">
        <f>IF(D720="","-",+C773+1)</f>
        <v>2063</v>
      </c>
      <c r="D774" s="674">
        <f t="shared" si="44"/>
        <v>0</v>
      </c>
      <c r="E774" s="730">
        <f t="shared" si="47"/>
        <v>0</v>
      </c>
      <c r="F774" s="674">
        <f t="shared" si="42"/>
        <v>0</v>
      </c>
      <c r="G774" s="1265">
        <f t="shared" si="45"/>
        <v>0</v>
      </c>
      <c r="H774" s="1268">
        <f t="shared" si="46"/>
        <v>0</v>
      </c>
      <c r="I774" s="727">
        <f t="shared" si="43"/>
        <v>0</v>
      </c>
      <c r="J774" s="727"/>
      <c r="K774" s="877"/>
      <c r="L774" s="733"/>
      <c r="M774" s="877"/>
      <c r="N774" s="733"/>
      <c r="O774" s="733"/>
    </row>
    <row r="775" spans="2:15">
      <c r="B775" s="332"/>
      <c r="C775" s="723">
        <f>IF(D720="","-",+C774+1)</f>
        <v>2064</v>
      </c>
      <c r="D775" s="674">
        <f t="shared" si="44"/>
        <v>0</v>
      </c>
      <c r="E775" s="730">
        <f t="shared" si="47"/>
        <v>0</v>
      </c>
      <c r="F775" s="674">
        <f t="shared" si="42"/>
        <v>0</v>
      </c>
      <c r="G775" s="1265">
        <f t="shared" si="45"/>
        <v>0</v>
      </c>
      <c r="H775" s="1268">
        <f t="shared" si="46"/>
        <v>0</v>
      </c>
      <c r="I775" s="727">
        <f t="shared" si="43"/>
        <v>0</v>
      </c>
      <c r="J775" s="727"/>
      <c r="K775" s="877"/>
      <c r="L775" s="733"/>
      <c r="M775" s="877"/>
      <c r="N775" s="733"/>
      <c r="O775" s="733"/>
    </row>
    <row r="776" spans="2:15">
      <c r="B776" s="332"/>
      <c r="C776" s="723">
        <f>IF(D720="","-",+C775+1)</f>
        <v>2065</v>
      </c>
      <c r="D776" s="674">
        <f t="shared" si="44"/>
        <v>0</v>
      </c>
      <c r="E776" s="730">
        <f t="shared" si="47"/>
        <v>0</v>
      </c>
      <c r="F776" s="674">
        <f t="shared" si="42"/>
        <v>0</v>
      </c>
      <c r="G776" s="1265">
        <f t="shared" si="45"/>
        <v>0</v>
      </c>
      <c r="H776" s="1268">
        <f t="shared" si="46"/>
        <v>0</v>
      </c>
      <c r="I776" s="727">
        <f t="shared" si="43"/>
        <v>0</v>
      </c>
      <c r="J776" s="727"/>
      <c r="K776" s="877"/>
      <c r="L776" s="733"/>
      <c r="M776" s="877"/>
      <c r="N776" s="733"/>
      <c r="O776" s="733"/>
    </row>
    <row r="777" spans="2:15">
      <c r="B777" s="332"/>
      <c r="C777" s="723">
        <f>IF(D720="","-",+C776+1)</f>
        <v>2066</v>
      </c>
      <c r="D777" s="674">
        <f t="shared" si="44"/>
        <v>0</v>
      </c>
      <c r="E777" s="730">
        <f t="shared" si="47"/>
        <v>0</v>
      </c>
      <c r="F777" s="674">
        <f t="shared" si="42"/>
        <v>0</v>
      </c>
      <c r="G777" s="1265">
        <f t="shared" si="45"/>
        <v>0</v>
      </c>
      <c r="H777" s="1268">
        <f t="shared" si="46"/>
        <v>0</v>
      </c>
      <c r="I777" s="727">
        <f t="shared" si="43"/>
        <v>0</v>
      </c>
      <c r="J777" s="727"/>
      <c r="K777" s="877"/>
      <c r="L777" s="733"/>
      <c r="M777" s="877"/>
      <c r="N777" s="733"/>
      <c r="O777" s="733"/>
    </row>
    <row r="778" spans="2:15">
      <c r="B778" s="332"/>
      <c r="C778" s="723">
        <f>IF(D720="","-",+C777+1)</f>
        <v>2067</v>
      </c>
      <c r="D778" s="674">
        <f t="shared" si="44"/>
        <v>0</v>
      </c>
      <c r="E778" s="730">
        <f t="shared" si="47"/>
        <v>0</v>
      </c>
      <c r="F778" s="674">
        <f t="shared" si="42"/>
        <v>0</v>
      </c>
      <c r="G778" s="1265">
        <f t="shared" si="45"/>
        <v>0</v>
      </c>
      <c r="H778" s="1268">
        <f t="shared" si="46"/>
        <v>0</v>
      </c>
      <c r="I778" s="727">
        <f t="shared" si="43"/>
        <v>0</v>
      </c>
      <c r="J778" s="727"/>
      <c r="K778" s="877"/>
      <c r="L778" s="733"/>
      <c r="M778" s="877"/>
      <c r="N778" s="733"/>
      <c r="O778" s="733"/>
    </row>
    <row r="779" spans="2:15">
      <c r="B779" s="332"/>
      <c r="C779" s="723">
        <f>IF(D720="","-",+C778+1)</f>
        <v>2068</v>
      </c>
      <c r="D779" s="674">
        <f t="shared" si="44"/>
        <v>0</v>
      </c>
      <c r="E779" s="730">
        <f t="shared" si="47"/>
        <v>0</v>
      </c>
      <c r="F779" s="674">
        <f t="shared" si="42"/>
        <v>0</v>
      </c>
      <c r="G779" s="1265">
        <f t="shared" si="45"/>
        <v>0</v>
      </c>
      <c r="H779" s="1268">
        <f t="shared" si="46"/>
        <v>0</v>
      </c>
      <c r="I779" s="727">
        <f t="shared" si="43"/>
        <v>0</v>
      </c>
      <c r="J779" s="727"/>
      <c r="K779" s="877"/>
      <c r="L779" s="733"/>
      <c r="M779" s="877"/>
      <c r="N779" s="733"/>
      <c r="O779" s="733"/>
    </row>
    <row r="780" spans="2:15">
      <c r="B780" s="332"/>
      <c r="C780" s="723">
        <f>IF(D720="","-",+C779+1)</f>
        <v>2069</v>
      </c>
      <c r="D780" s="674">
        <f t="shared" si="44"/>
        <v>0</v>
      </c>
      <c r="E780" s="730">
        <f t="shared" si="47"/>
        <v>0</v>
      </c>
      <c r="F780" s="674">
        <f t="shared" si="42"/>
        <v>0</v>
      </c>
      <c r="G780" s="1265">
        <f t="shared" si="45"/>
        <v>0</v>
      </c>
      <c r="H780" s="1268">
        <f t="shared" si="46"/>
        <v>0</v>
      </c>
      <c r="I780" s="727">
        <f t="shared" si="43"/>
        <v>0</v>
      </c>
      <c r="J780" s="727"/>
      <c r="K780" s="877"/>
      <c r="L780" s="733"/>
      <c r="M780" s="877"/>
      <c r="N780" s="733"/>
      <c r="O780" s="733"/>
    </row>
    <row r="781" spans="2:15">
      <c r="B781" s="332"/>
      <c r="C781" s="723">
        <f>IF(D720="","-",+C780+1)</f>
        <v>2070</v>
      </c>
      <c r="D781" s="674">
        <f t="shared" si="44"/>
        <v>0</v>
      </c>
      <c r="E781" s="730">
        <f t="shared" si="47"/>
        <v>0</v>
      </c>
      <c r="F781" s="674">
        <f t="shared" si="42"/>
        <v>0</v>
      </c>
      <c r="G781" s="1265">
        <f t="shared" si="45"/>
        <v>0</v>
      </c>
      <c r="H781" s="1268">
        <f t="shared" si="46"/>
        <v>0</v>
      </c>
      <c r="I781" s="727">
        <f t="shared" si="43"/>
        <v>0</v>
      </c>
      <c r="J781" s="727"/>
      <c r="K781" s="877"/>
      <c r="L781" s="733"/>
      <c r="M781" s="877"/>
      <c r="N781" s="733"/>
      <c r="O781" s="733"/>
    </row>
    <row r="782" spans="2:15">
      <c r="B782" s="332"/>
      <c r="C782" s="723">
        <f>IF(D720="","-",+C781+1)</f>
        <v>2071</v>
      </c>
      <c r="D782" s="674">
        <f t="shared" si="44"/>
        <v>0</v>
      </c>
      <c r="E782" s="730">
        <f t="shared" si="47"/>
        <v>0</v>
      </c>
      <c r="F782" s="674">
        <f t="shared" si="42"/>
        <v>0</v>
      </c>
      <c r="G782" s="1265">
        <f t="shared" si="45"/>
        <v>0</v>
      </c>
      <c r="H782" s="1268">
        <f t="shared" si="46"/>
        <v>0</v>
      </c>
      <c r="I782" s="727">
        <f t="shared" si="43"/>
        <v>0</v>
      </c>
      <c r="J782" s="727"/>
      <c r="K782" s="877"/>
      <c r="L782" s="733"/>
      <c r="M782" s="877"/>
      <c r="N782" s="733"/>
      <c r="O782" s="733"/>
    </row>
    <row r="783" spans="2:15">
      <c r="B783" s="332"/>
      <c r="C783" s="723">
        <f>IF(D720="","-",+C782+1)</f>
        <v>2072</v>
      </c>
      <c r="D783" s="674">
        <f t="shared" si="44"/>
        <v>0</v>
      </c>
      <c r="E783" s="730">
        <f t="shared" si="47"/>
        <v>0</v>
      </c>
      <c r="F783" s="674">
        <f t="shared" si="42"/>
        <v>0</v>
      </c>
      <c r="G783" s="1265">
        <f t="shared" si="45"/>
        <v>0</v>
      </c>
      <c r="H783" s="1268">
        <f t="shared" si="46"/>
        <v>0</v>
      </c>
      <c r="I783" s="727">
        <f t="shared" si="43"/>
        <v>0</v>
      </c>
      <c r="J783" s="727"/>
      <c r="K783" s="877"/>
      <c r="L783" s="733"/>
      <c r="M783" s="877"/>
      <c r="N783" s="733"/>
      <c r="O783" s="733"/>
    </row>
    <row r="784" spans="2:15">
      <c r="B784" s="332"/>
      <c r="C784" s="723">
        <f>IF(D720="","-",+C783+1)</f>
        <v>2073</v>
      </c>
      <c r="D784" s="674">
        <f t="shared" si="44"/>
        <v>0</v>
      </c>
      <c r="E784" s="730">
        <f t="shared" si="47"/>
        <v>0</v>
      </c>
      <c r="F784" s="674">
        <f t="shared" si="42"/>
        <v>0</v>
      </c>
      <c r="G784" s="1265">
        <f t="shared" si="45"/>
        <v>0</v>
      </c>
      <c r="H784" s="1268">
        <f t="shared" si="46"/>
        <v>0</v>
      </c>
      <c r="I784" s="727">
        <f t="shared" si="43"/>
        <v>0</v>
      </c>
      <c r="J784" s="727"/>
      <c r="K784" s="877"/>
      <c r="L784" s="733"/>
      <c r="M784" s="877"/>
      <c r="N784" s="733"/>
      <c r="O784" s="733"/>
    </row>
    <row r="785" spans="1:16" ht="13.5" thickBot="1">
      <c r="B785" s="332"/>
      <c r="C785" s="735">
        <f>IF(D720="","-",+C784+1)</f>
        <v>2074</v>
      </c>
      <c r="D785" s="736">
        <f t="shared" si="44"/>
        <v>0</v>
      </c>
      <c r="E785" s="737">
        <f t="shared" si="47"/>
        <v>0</v>
      </c>
      <c r="F785" s="736">
        <f t="shared" si="42"/>
        <v>0</v>
      </c>
      <c r="G785" s="1275">
        <f t="shared" si="45"/>
        <v>0</v>
      </c>
      <c r="H785" s="1275">
        <f t="shared" si="46"/>
        <v>0</v>
      </c>
      <c r="I785" s="739">
        <f t="shared" si="43"/>
        <v>0</v>
      </c>
      <c r="J785" s="727"/>
      <c r="K785" s="878"/>
      <c r="L785" s="741"/>
      <c r="M785" s="878"/>
      <c r="N785" s="741"/>
      <c r="O785" s="741"/>
    </row>
    <row r="786" spans="1:16">
      <c r="B786" s="332"/>
      <c r="C786" s="674" t="s">
        <v>288</v>
      </c>
      <c r="D786" s="1246"/>
      <c r="E786" s="1246">
        <f>SUM(E726:E785)</f>
        <v>5481331</v>
      </c>
      <c r="F786" s="1246"/>
      <c r="G786" s="1246">
        <f>SUM(G726:G785)</f>
        <v>18763267.943467703</v>
      </c>
      <c r="H786" s="1246">
        <f>SUM(H726:H785)</f>
        <v>18763267.943467703</v>
      </c>
      <c r="I786" s="1246">
        <f>SUM(I726:I785)</f>
        <v>0</v>
      </c>
      <c r="J786" s="1246"/>
      <c r="K786" s="1246"/>
      <c r="L786" s="1246"/>
      <c r="M786" s="1246"/>
      <c r="N786" s="1246"/>
      <c r="O786" s="541"/>
    </row>
    <row r="787" spans="1:16">
      <c r="B787" s="332"/>
      <c r="D787" s="564"/>
      <c r="E787" s="541"/>
      <c r="F787" s="541"/>
      <c r="G787" s="541"/>
      <c r="H787" s="1245"/>
      <c r="I787" s="1245"/>
      <c r="J787" s="1246"/>
      <c r="K787" s="1245"/>
      <c r="L787" s="1245"/>
      <c r="M787" s="1245"/>
      <c r="N787" s="1245"/>
      <c r="O787" s="541"/>
    </row>
    <row r="788" spans="1:16">
      <c r="B788" s="332"/>
      <c r="C788" s="541" t="s">
        <v>601</v>
      </c>
      <c r="D788" s="564"/>
      <c r="E788" s="541"/>
      <c r="F788" s="541"/>
      <c r="G788" s="541"/>
      <c r="H788" s="1245"/>
      <c r="I788" s="1245"/>
      <c r="J788" s="1246"/>
      <c r="K788" s="1245"/>
      <c r="L788" s="1245"/>
      <c r="M788" s="1245"/>
      <c r="N788" s="1245"/>
      <c r="O788" s="541"/>
    </row>
    <row r="789" spans="1:16">
      <c r="B789" s="332"/>
      <c r="D789" s="564"/>
      <c r="E789" s="541"/>
      <c r="F789" s="541"/>
      <c r="G789" s="541"/>
      <c r="H789" s="1245"/>
      <c r="I789" s="1245"/>
      <c r="J789" s="1246"/>
      <c r="K789" s="1245"/>
      <c r="L789" s="1245"/>
      <c r="M789" s="1245"/>
      <c r="N789" s="1245"/>
      <c r="O789" s="541"/>
    </row>
    <row r="790" spans="1:16">
      <c r="B790" s="332"/>
      <c r="C790" s="577" t="s">
        <v>602</v>
      </c>
      <c r="D790" s="674"/>
      <c r="E790" s="674"/>
      <c r="F790" s="674"/>
      <c r="G790" s="1246"/>
      <c r="H790" s="1246"/>
      <c r="I790" s="675"/>
      <c r="J790" s="675"/>
      <c r="K790" s="675"/>
      <c r="L790" s="675"/>
      <c r="M790" s="675"/>
      <c r="N790" s="675"/>
      <c r="O790" s="541"/>
    </row>
    <row r="791" spans="1:16">
      <c r="B791" s="332"/>
      <c r="C791" s="577" t="s">
        <v>476</v>
      </c>
      <c r="D791" s="674"/>
      <c r="E791" s="674"/>
      <c r="F791" s="674"/>
      <c r="G791" s="1246"/>
      <c r="H791" s="1246"/>
      <c r="I791" s="675"/>
      <c r="J791" s="675"/>
      <c r="K791" s="675"/>
      <c r="L791" s="675"/>
      <c r="M791" s="675"/>
      <c r="N791" s="675"/>
      <c r="O791" s="541"/>
    </row>
    <row r="792" spans="1:16">
      <c r="B792" s="332"/>
      <c r="C792" s="577" t="s">
        <v>289</v>
      </c>
      <c r="D792" s="674"/>
      <c r="E792" s="674"/>
      <c r="F792" s="674"/>
      <c r="G792" s="1246"/>
      <c r="H792" s="1246"/>
      <c r="I792" s="675"/>
      <c r="J792" s="675"/>
      <c r="K792" s="675"/>
      <c r="L792" s="675"/>
      <c r="M792" s="675"/>
      <c r="N792" s="675"/>
      <c r="O792" s="541"/>
    </row>
    <row r="793" spans="1:16">
      <c r="B793" s="332"/>
      <c r="C793" s="673"/>
      <c r="D793" s="674"/>
      <c r="E793" s="674"/>
      <c r="F793" s="674"/>
      <c r="G793" s="1246"/>
      <c r="H793" s="1246"/>
      <c r="I793" s="675"/>
      <c r="J793" s="675"/>
      <c r="K793" s="675"/>
      <c r="L793" s="675"/>
      <c r="M793" s="675"/>
      <c r="N793" s="675"/>
      <c r="O793" s="541"/>
    </row>
    <row r="794" spans="1:16">
      <c r="B794" s="332"/>
      <c r="C794" s="1543" t="s">
        <v>460</v>
      </c>
      <c r="D794" s="1543"/>
      <c r="E794" s="1543"/>
      <c r="F794" s="1543"/>
      <c r="G794" s="1543"/>
      <c r="H794" s="1543"/>
      <c r="I794" s="1543"/>
      <c r="J794" s="1543"/>
      <c r="K794" s="1543"/>
      <c r="L794" s="1543"/>
      <c r="M794" s="1543"/>
      <c r="N794" s="1543"/>
      <c r="O794" s="1543"/>
    </row>
    <row r="795" spans="1:16">
      <c r="B795" s="332"/>
      <c r="C795" s="1543"/>
      <c r="D795" s="1543"/>
      <c r="E795" s="1543"/>
      <c r="F795" s="1543"/>
      <c r="G795" s="1543"/>
      <c r="H795" s="1543"/>
      <c r="I795" s="1543"/>
      <c r="J795" s="1543"/>
      <c r="K795" s="1543"/>
      <c r="L795" s="1543"/>
      <c r="M795" s="1543"/>
      <c r="N795" s="1543"/>
      <c r="O795" s="1543"/>
    </row>
    <row r="796" spans="1:16" ht="20.25">
      <c r="A796" s="676" t="s">
        <v>972</v>
      </c>
      <c r="B796" s="541"/>
      <c r="C796" s="656"/>
      <c r="D796" s="564"/>
      <c r="E796" s="541"/>
      <c r="F796" s="646"/>
      <c r="G796" s="541"/>
      <c r="H796" s="1245"/>
      <c r="K796" s="677"/>
      <c r="L796" s="677"/>
      <c r="M796" s="677"/>
      <c r="N796" s="592" t="str">
        <f>"Page "&amp;SUM(P$6:P796)&amp;" of "</f>
        <v xml:space="preserve">Page 10 of </v>
      </c>
      <c r="O796" s="593">
        <f>COUNT(P$6:P$59606)</f>
        <v>14</v>
      </c>
      <c r="P796" s="541">
        <v>1</v>
      </c>
    </row>
    <row r="797" spans="1:16">
      <c r="B797" s="541"/>
      <c r="C797" s="541"/>
      <c r="D797" s="564"/>
      <c r="E797" s="541"/>
      <c r="F797" s="541"/>
      <c r="G797" s="541"/>
      <c r="H797" s="1245"/>
      <c r="I797" s="541"/>
      <c r="J797" s="589"/>
      <c r="K797" s="541"/>
      <c r="L797" s="541"/>
      <c r="M797" s="541"/>
      <c r="N797" s="541"/>
      <c r="O797" s="541"/>
    </row>
    <row r="798" spans="1:16" ht="18">
      <c r="B798" s="596" t="s">
        <v>174</v>
      </c>
      <c r="C798" s="678" t="s">
        <v>290</v>
      </c>
      <c r="D798" s="564"/>
      <c r="E798" s="541"/>
      <c r="F798" s="541"/>
      <c r="G798" s="541"/>
      <c r="H798" s="1245"/>
      <c r="I798" s="1245"/>
      <c r="J798" s="1246"/>
      <c r="K798" s="1245"/>
      <c r="L798" s="1245"/>
      <c r="M798" s="1245"/>
      <c r="N798" s="1245"/>
      <c r="O798" s="541"/>
    </row>
    <row r="799" spans="1:16" ht="18.75">
      <c r="B799" s="596"/>
      <c r="C799" s="595"/>
      <c r="D799" s="564"/>
      <c r="E799" s="541"/>
      <c r="F799" s="541"/>
      <c r="G799" s="541"/>
      <c r="H799" s="1245"/>
      <c r="I799" s="1245"/>
      <c r="J799" s="1246"/>
      <c r="K799" s="1245"/>
      <c r="L799" s="1245"/>
      <c r="M799" s="1245"/>
      <c r="N799" s="1245"/>
      <c r="O799" s="541"/>
    </row>
    <row r="800" spans="1:16" ht="18.75">
      <c r="B800" s="596"/>
      <c r="C800" s="595" t="s">
        <v>291</v>
      </c>
      <c r="D800" s="564"/>
      <c r="E800" s="541"/>
      <c r="F800" s="541"/>
      <c r="G800" s="541"/>
      <c r="H800" s="1245"/>
      <c r="I800" s="1245"/>
      <c r="J800" s="1246"/>
      <c r="K800" s="1245"/>
      <c r="L800" s="1245"/>
      <c r="M800" s="1245"/>
      <c r="N800" s="1245"/>
      <c r="O800" s="541"/>
    </row>
    <row r="801" spans="1:15" ht="15.75" thickBot="1">
      <c r="B801" s="332"/>
      <c r="C801" s="398"/>
      <c r="D801" s="564"/>
      <c r="E801" s="541"/>
      <c r="F801" s="541"/>
      <c r="G801" s="541"/>
      <c r="H801" s="1245"/>
      <c r="I801" s="1245"/>
      <c r="J801" s="1246"/>
      <c r="K801" s="1245"/>
      <c r="L801" s="1245"/>
      <c r="M801" s="1245"/>
      <c r="N801" s="1245"/>
      <c r="O801" s="541"/>
    </row>
    <row r="802" spans="1:15" ht="15.75">
      <c r="B802" s="332"/>
      <c r="C802" s="597" t="s">
        <v>292</v>
      </c>
      <c r="D802" s="564"/>
      <c r="E802" s="541"/>
      <c r="F802" s="541"/>
      <c r="G802" s="1247"/>
      <c r="H802" s="541" t="s">
        <v>271</v>
      </c>
      <c r="I802" s="541"/>
      <c r="J802" s="589"/>
      <c r="K802" s="679" t="s">
        <v>296</v>
      </c>
      <c r="L802" s="680"/>
      <c r="M802" s="681"/>
      <c r="N802" s="1248">
        <f>VLOOKUP(I808,C815:O874,5)</f>
        <v>51638.254324900889</v>
      </c>
      <c r="O802" s="541"/>
    </row>
    <row r="803" spans="1:15" ht="15.75">
      <c r="B803" s="332"/>
      <c r="C803" s="597"/>
      <c r="D803" s="564"/>
      <c r="E803" s="541"/>
      <c r="F803" s="541"/>
      <c r="G803" s="541"/>
      <c r="H803" s="1249"/>
      <c r="I803" s="1249"/>
      <c r="J803" s="1250"/>
      <c r="K803" s="684" t="s">
        <v>297</v>
      </c>
      <c r="L803" s="1251"/>
      <c r="M803" s="589"/>
      <c r="N803" s="1252">
        <f>VLOOKUP(I808,C815:O874,6)</f>
        <v>51638.254324900889</v>
      </c>
      <c r="O803" s="541"/>
    </row>
    <row r="804" spans="1:15" ht="13.5" thickBot="1">
      <c r="B804" s="332"/>
      <c r="C804" s="685" t="s">
        <v>293</v>
      </c>
      <c r="D804" s="1544" t="s">
        <v>982</v>
      </c>
      <c r="E804" s="1544"/>
      <c r="F804" s="1544"/>
      <c r="G804" s="1544"/>
      <c r="H804" s="1544"/>
      <c r="I804" s="1245"/>
      <c r="J804" s="1246"/>
      <c r="K804" s="1253" t="s">
        <v>450</v>
      </c>
      <c r="L804" s="1254"/>
      <c r="M804" s="1254"/>
      <c r="N804" s="1255">
        <f>+N803-N802</f>
        <v>0</v>
      </c>
      <c r="O804" s="541"/>
    </row>
    <row r="805" spans="1:15">
      <c r="B805" s="332"/>
      <c r="C805" s="687"/>
      <c r="D805" s="688"/>
      <c r="E805" s="672"/>
      <c r="F805" s="672"/>
      <c r="G805" s="689"/>
      <c r="H805" s="1245"/>
      <c r="I805" s="1245"/>
      <c r="J805" s="1246"/>
      <c r="K805" s="1245"/>
      <c r="L805" s="1245"/>
      <c r="M805" s="1245"/>
      <c r="N805" s="1245"/>
      <c r="O805" s="541"/>
    </row>
    <row r="806" spans="1:15" ht="13.5" thickBot="1">
      <c r="B806" s="332"/>
      <c r="C806" s="690"/>
      <c r="D806" s="691"/>
      <c r="E806" s="689"/>
      <c r="F806" s="689"/>
      <c r="G806" s="689"/>
      <c r="H806" s="689"/>
      <c r="I806" s="689"/>
      <c r="J806" s="692"/>
      <c r="K806" s="689"/>
      <c r="L806" s="689"/>
      <c r="M806" s="689"/>
      <c r="N806" s="689"/>
      <c r="O806" s="577"/>
    </row>
    <row r="807" spans="1:15" ht="13.5" thickBot="1">
      <c r="B807" s="332"/>
      <c r="C807" s="694" t="s">
        <v>294</v>
      </c>
      <c r="D807" s="695"/>
      <c r="E807" s="695"/>
      <c r="F807" s="695"/>
      <c r="G807" s="695"/>
      <c r="H807" s="695"/>
      <c r="I807" s="696"/>
      <c r="J807" s="697"/>
      <c r="K807" s="541"/>
      <c r="L807" s="541"/>
      <c r="M807" s="541"/>
      <c r="N807" s="541"/>
      <c r="O807" s="698"/>
    </row>
    <row r="808" spans="1:15" ht="15">
      <c r="C808" s="700" t="s">
        <v>272</v>
      </c>
      <c r="D808" s="1256">
        <v>451100</v>
      </c>
      <c r="E808" s="656" t="s">
        <v>273</v>
      </c>
      <c r="G808" s="701"/>
      <c r="H808" s="701"/>
      <c r="I808" s="702">
        <v>2018</v>
      </c>
      <c r="J808" s="587"/>
      <c r="K808" s="1542" t="s">
        <v>459</v>
      </c>
      <c r="L808" s="1542"/>
      <c r="M808" s="1542"/>
      <c r="N808" s="1542"/>
      <c r="O808" s="1542"/>
    </row>
    <row r="809" spans="1:15">
      <c r="C809" s="700" t="s">
        <v>275</v>
      </c>
      <c r="D809" s="872">
        <v>2014</v>
      </c>
      <c r="E809" s="700" t="s">
        <v>276</v>
      </c>
      <c r="F809" s="701"/>
      <c r="H809" s="332"/>
      <c r="I809" s="875">
        <f>IF(G802="",0,$F$15)</f>
        <v>0</v>
      </c>
      <c r="J809" s="703"/>
      <c r="K809" s="1246" t="s">
        <v>459</v>
      </c>
    </row>
    <row r="810" spans="1:15">
      <c r="C810" s="700" t="s">
        <v>277</v>
      </c>
      <c r="D810" s="1257">
        <v>9</v>
      </c>
      <c r="E810" s="700" t="s">
        <v>278</v>
      </c>
      <c r="F810" s="701"/>
      <c r="H810" s="332"/>
      <c r="I810" s="704">
        <f>$G$70</f>
        <v>0.1009634410531228</v>
      </c>
      <c r="J810" s="705"/>
      <c r="K810" s="332" t="str">
        <f>"          INPUT PROJECTED ARR (WITH &amp; WITHOUT INCENTIVES) FROM EACH PRIOR YEAR"</f>
        <v xml:space="preserve">          INPUT PROJECTED ARR (WITH &amp; WITHOUT INCENTIVES) FROM EACH PRIOR YEAR</v>
      </c>
    </row>
    <row r="811" spans="1:15">
      <c r="C811" s="700" t="s">
        <v>279</v>
      </c>
      <c r="D811" s="706">
        <f>G$79</f>
        <v>46</v>
      </c>
      <c r="E811" s="700" t="s">
        <v>280</v>
      </c>
      <c r="F811" s="701"/>
      <c r="H811" s="332"/>
      <c r="I811" s="704">
        <f>IF(G802="",I810,$G$67)</f>
        <v>0.1009634410531228</v>
      </c>
      <c r="J811" s="707"/>
      <c r="K811" s="332" t="s">
        <v>357</v>
      </c>
    </row>
    <row r="812" spans="1:15" ht="13.5" thickBot="1">
      <c r="C812" s="700" t="s">
        <v>281</v>
      </c>
      <c r="D812" s="874" t="s">
        <v>974</v>
      </c>
      <c r="E812" s="708" t="s">
        <v>282</v>
      </c>
      <c r="F812" s="709"/>
      <c r="G812" s="710"/>
      <c r="H812" s="710"/>
      <c r="I812" s="1255">
        <f>IF(D808=0,0,D808/D811)</f>
        <v>9806.5217391304341</v>
      </c>
      <c r="J812" s="1246"/>
      <c r="K812" s="1246" t="s">
        <v>363</v>
      </c>
      <c r="L812" s="1246"/>
      <c r="M812" s="1246"/>
      <c r="N812" s="1246"/>
      <c r="O812" s="589"/>
    </row>
    <row r="813" spans="1:15" ht="51">
      <c r="A813" s="528"/>
      <c r="B813" s="528"/>
      <c r="C813" s="711" t="s">
        <v>272</v>
      </c>
      <c r="D813" s="1258" t="s">
        <v>283</v>
      </c>
      <c r="E813" s="1259" t="s">
        <v>284</v>
      </c>
      <c r="F813" s="1258" t="s">
        <v>285</v>
      </c>
      <c r="G813" s="1259" t="s">
        <v>356</v>
      </c>
      <c r="H813" s="1260" t="s">
        <v>356</v>
      </c>
      <c r="I813" s="711" t="s">
        <v>295</v>
      </c>
      <c r="J813" s="715"/>
      <c r="K813" s="1259" t="s">
        <v>365</v>
      </c>
      <c r="L813" s="1261"/>
      <c r="M813" s="1259" t="s">
        <v>365</v>
      </c>
      <c r="N813" s="1261"/>
      <c r="O813" s="1261"/>
    </row>
    <row r="814" spans="1:15" ht="13.5" thickBot="1">
      <c r="B814" s="332"/>
      <c r="C814" s="717" t="s">
        <v>177</v>
      </c>
      <c r="D814" s="718" t="s">
        <v>178</v>
      </c>
      <c r="E814" s="717" t="s">
        <v>37</v>
      </c>
      <c r="F814" s="718" t="s">
        <v>178</v>
      </c>
      <c r="G814" s="1262" t="s">
        <v>298</v>
      </c>
      <c r="H814" s="1263" t="s">
        <v>300</v>
      </c>
      <c r="I814" s="721" t="s">
        <v>389</v>
      </c>
      <c r="J814" s="722"/>
      <c r="K814" s="1262" t="s">
        <v>287</v>
      </c>
      <c r="L814" s="1264"/>
      <c r="M814" s="1262" t="s">
        <v>300</v>
      </c>
      <c r="N814" s="1264"/>
      <c r="O814" s="1264"/>
    </row>
    <row r="815" spans="1:15">
      <c r="B815" s="332"/>
      <c r="C815" s="723">
        <f>IF(D809= "","-",D809)</f>
        <v>2014</v>
      </c>
      <c r="D815" s="674">
        <f>+D808</f>
        <v>451100</v>
      </c>
      <c r="E815" s="1265">
        <f>+I812/12*(12-D810)</f>
        <v>2451.6304347826085</v>
      </c>
      <c r="F815" s="674">
        <f t="shared" ref="F815:F874" si="48">+D815-E815</f>
        <v>448648.36956521741</v>
      </c>
      <c r="G815" s="1266">
        <f>+$I$810*((D815+F815)/2)+E815</f>
        <v>47872.476171403192</v>
      </c>
      <c r="H815" s="1267">
        <f>+$I$811*((D815+F815)/2)+E815</f>
        <v>47872.476171403192</v>
      </c>
      <c r="I815" s="727">
        <f t="shared" ref="I815:I874" si="49">+H815-G815</f>
        <v>0</v>
      </c>
      <c r="J815" s="727"/>
      <c r="K815" s="876">
        <v>0</v>
      </c>
      <c r="L815" s="729"/>
      <c r="M815" s="876">
        <v>0</v>
      </c>
      <c r="N815" s="729"/>
      <c r="O815" s="729"/>
    </row>
    <row r="816" spans="1:15">
      <c r="B816" s="332"/>
      <c r="C816" s="723">
        <f>IF(D809="","-",+C815+1)</f>
        <v>2015</v>
      </c>
      <c r="D816" s="674">
        <f t="shared" ref="D816:D874" si="50">F815</f>
        <v>448648.36956521741</v>
      </c>
      <c r="E816" s="730">
        <f>IF(D816&gt;$I$812,$I$812,D816)</f>
        <v>9806.5217391304341</v>
      </c>
      <c r="F816" s="674">
        <f t="shared" si="48"/>
        <v>438841.84782608697</v>
      </c>
      <c r="G816" s="1265">
        <f t="shared" ref="G816:G874" si="51">+$I$810*((D816+F816)/2)+E816</f>
        <v>54608.554863535486</v>
      </c>
      <c r="H816" s="1268">
        <f t="shared" ref="H816:H874" si="52">+$I$811*((D816+F816)/2)+E816</f>
        <v>54608.554863535486</v>
      </c>
      <c r="I816" s="727">
        <f t="shared" si="49"/>
        <v>0</v>
      </c>
      <c r="J816" s="727"/>
      <c r="K816" s="877">
        <v>0</v>
      </c>
      <c r="L816" s="733"/>
      <c r="M816" s="877">
        <v>0</v>
      </c>
      <c r="N816" s="733"/>
      <c r="O816" s="733"/>
    </row>
    <row r="817" spans="2:15">
      <c r="B817" s="332"/>
      <c r="C817" s="723">
        <f>IF(D809="","-",+C816+1)</f>
        <v>2016</v>
      </c>
      <c r="D817" s="674">
        <f t="shared" si="50"/>
        <v>438841.84782608697</v>
      </c>
      <c r="E817" s="730">
        <f t="shared" ref="E817:E874" si="53">IF(D817&gt;$I$812,$I$812,D817)</f>
        <v>9806.5217391304341</v>
      </c>
      <c r="F817" s="674">
        <f t="shared" si="48"/>
        <v>429035.32608695654</v>
      </c>
      <c r="G817" s="1265">
        <f t="shared" si="51"/>
        <v>53618.454683990618</v>
      </c>
      <c r="H817" s="1268">
        <f t="shared" si="52"/>
        <v>53618.454683990618</v>
      </c>
      <c r="I817" s="727">
        <f t="shared" si="49"/>
        <v>0</v>
      </c>
      <c r="J817" s="727"/>
      <c r="K817" s="877">
        <v>1117</v>
      </c>
      <c r="L817" s="1278"/>
      <c r="M817" s="877">
        <v>1117</v>
      </c>
      <c r="N817" s="733"/>
      <c r="O817" s="733"/>
    </row>
    <row r="818" spans="2:15">
      <c r="B818" s="332"/>
      <c r="C818" s="723">
        <f>IF(D809="","-",+C817+1)</f>
        <v>2017</v>
      </c>
      <c r="D818" s="674">
        <f t="shared" si="50"/>
        <v>429035.32608695654</v>
      </c>
      <c r="E818" s="730">
        <f t="shared" si="53"/>
        <v>9806.5217391304341</v>
      </c>
      <c r="F818" s="674">
        <f t="shared" si="48"/>
        <v>419228.80434782611</v>
      </c>
      <c r="G818" s="1265">
        <f t="shared" si="51"/>
        <v>52628.354504445757</v>
      </c>
      <c r="H818" s="1268">
        <f t="shared" si="52"/>
        <v>52628.354504445757</v>
      </c>
      <c r="I818" s="727">
        <f t="shared" si="49"/>
        <v>0</v>
      </c>
      <c r="J818" s="727"/>
      <c r="K818" s="877">
        <v>57580</v>
      </c>
      <c r="L818" s="733"/>
      <c r="M818" s="877">
        <v>57580</v>
      </c>
      <c r="N818" s="733"/>
      <c r="O818" s="733"/>
    </row>
    <row r="819" spans="2:15">
      <c r="B819" s="332"/>
      <c r="C819" s="1269">
        <f>IF(D809="","-",+C818+1)</f>
        <v>2018</v>
      </c>
      <c r="D819" s="1270">
        <f t="shared" si="50"/>
        <v>419228.80434782611</v>
      </c>
      <c r="E819" s="1271">
        <f t="shared" si="53"/>
        <v>9806.5217391304341</v>
      </c>
      <c r="F819" s="1270">
        <f t="shared" si="48"/>
        <v>409422.28260869568</v>
      </c>
      <c r="G819" s="1272">
        <f t="shared" si="51"/>
        <v>51638.254324900889</v>
      </c>
      <c r="H819" s="1273">
        <f t="shared" si="52"/>
        <v>51638.254324900889</v>
      </c>
      <c r="I819" s="1279">
        <f t="shared" si="49"/>
        <v>0</v>
      </c>
      <c r="J819" s="727"/>
      <c r="K819" s="877"/>
      <c r="L819" s="733"/>
      <c r="M819" s="877"/>
      <c r="N819" s="733"/>
      <c r="O819" s="733"/>
    </row>
    <row r="820" spans="2:15">
      <c r="B820" s="332"/>
      <c r="C820" s="723">
        <f>IF(D809="","-",+C819+1)</f>
        <v>2019</v>
      </c>
      <c r="D820" s="674">
        <f t="shared" si="50"/>
        <v>409422.28260869568</v>
      </c>
      <c r="E820" s="730">
        <f t="shared" si="53"/>
        <v>9806.5217391304341</v>
      </c>
      <c r="F820" s="674">
        <f t="shared" si="48"/>
        <v>399615.76086956525</v>
      </c>
      <c r="G820" s="1265">
        <f t="shared" si="51"/>
        <v>50648.154145356035</v>
      </c>
      <c r="H820" s="1268">
        <f t="shared" si="52"/>
        <v>50648.154145356035</v>
      </c>
      <c r="I820" s="727">
        <f t="shared" si="49"/>
        <v>0</v>
      </c>
      <c r="J820" s="727"/>
      <c r="K820" s="877"/>
      <c r="L820" s="733"/>
      <c r="M820" s="877"/>
      <c r="N820" s="733"/>
      <c r="O820" s="733"/>
    </row>
    <row r="821" spans="2:15">
      <c r="B821" s="332"/>
      <c r="C821" s="723">
        <f>IF(D809="","-",+C820+1)</f>
        <v>2020</v>
      </c>
      <c r="D821" s="674">
        <f t="shared" si="50"/>
        <v>399615.76086956525</v>
      </c>
      <c r="E821" s="730">
        <f t="shared" si="53"/>
        <v>9806.5217391304341</v>
      </c>
      <c r="F821" s="674">
        <f t="shared" si="48"/>
        <v>389809.23913043481</v>
      </c>
      <c r="G821" s="1265">
        <f t="shared" si="51"/>
        <v>49658.053965811167</v>
      </c>
      <c r="H821" s="1268">
        <f t="shared" si="52"/>
        <v>49658.053965811167</v>
      </c>
      <c r="I821" s="727">
        <f t="shared" si="49"/>
        <v>0</v>
      </c>
      <c r="J821" s="727"/>
      <c r="K821" s="877"/>
      <c r="L821" s="733"/>
      <c r="M821" s="877"/>
      <c r="N821" s="733"/>
      <c r="O821" s="733"/>
    </row>
    <row r="822" spans="2:15">
      <c r="B822" s="332"/>
      <c r="C822" s="723">
        <f>IF(D809="","-",+C821+1)</f>
        <v>2021</v>
      </c>
      <c r="D822" s="674">
        <f t="shared" si="50"/>
        <v>389809.23913043481</v>
      </c>
      <c r="E822" s="730">
        <f t="shared" si="53"/>
        <v>9806.5217391304341</v>
      </c>
      <c r="F822" s="674">
        <f t="shared" si="48"/>
        <v>380002.71739130438</v>
      </c>
      <c r="G822" s="1265">
        <f t="shared" si="51"/>
        <v>48667.953786266306</v>
      </c>
      <c r="H822" s="1268">
        <f t="shared" si="52"/>
        <v>48667.953786266306</v>
      </c>
      <c r="I822" s="727">
        <f t="shared" si="49"/>
        <v>0</v>
      </c>
      <c r="J822" s="727"/>
      <c r="K822" s="877"/>
      <c r="L822" s="733"/>
      <c r="M822" s="877"/>
      <c r="N822" s="733"/>
      <c r="O822" s="733"/>
    </row>
    <row r="823" spans="2:15">
      <c r="B823" s="332"/>
      <c r="C823" s="723">
        <f>IF(D809="","-",+C822+1)</f>
        <v>2022</v>
      </c>
      <c r="D823" s="674">
        <f t="shared" si="50"/>
        <v>380002.71739130438</v>
      </c>
      <c r="E823" s="730">
        <f t="shared" si="53"/>
        <v>9806.5217391304341</v>
      </c>
      <c r="F823" s="674">
        <f t="shared" si="48"/>
        <v>370196.19565217395</v>
      </c>
      <c r="G823" s="1265">
        <f t="shared" si="51"/>
        <v>47677.853606721437</v>
      </c>
      <c r="H823" s="1268">
        <f t="shared" si="52"/>
        <v>47677.853606721437</v>
      </c>
      <c r="I823" s="727">
        <f t="shared" si="49"/>
        <v>0</v>
      </c>
      <c r="J823" s="727"/>
      <c r="K823" s="877"/>
      <c r="L823" s="733"/>
      <c r="M823" s="877"/>
      <c r="N823" s="733"/>
      <c r="O823" s="733"/>
    </row>
    <row r="824" spans="2:15">
      <c r="B824" s="332"/>
      <c r="C824" s="723">
        <f>IF(D809="","-",+C823+1)</f>
        <v>2023</v>
      </c>
      <c r="D824" s="674">
        <f t="shared" si="50"/>
        <v>370196.19565217395</v>
      </c>
      <c r="E824" s="730">
        <f t="shared" si="53"/>
        <v>9806.5217391304341</v>
      </c>
      <c r="F824" s="674">
        <f t="shared" si="48"/>
        <v>360389.67391304352</v>
      </c>
      <c r="G824" s="1265">
        <f t="shared" si="51"/>
        <v>46687.753427176584</v>
      </c>
      <c r="H824" s="1268">
        <f t="shared" si="52"/>
        <v>46687.753427176584</v>
      </c>
      <c r="I824" s="727">
        <f t="shared" si="49"/>
        <v>0</v>
      </c>
      <c r="J824" s="727"/>
      <c r="K824" s="877"/>
      <c r="L824" s="733"/>
      <c r="M824" s="877"/>
      <c r="N824" s="733"/>
      <c r="O824" s="733"/>
    </row>
    <row r="825" spans="2:15">
      <c r="B825" s="332"/>
      <c r="C825" s="723">
        <f>IF(D809="","-",+C824+1)</f>
        <v>2024</v>
      </c>
      <c r="D825" s="674">
        <f t="shared" si="50"/>
        <v>360389.67391304352</v>
      </c>
      <c r="E825" s="730">
        <f t="shared" si="53"/>
        <v>9806.5217391304341</v>
      </c>
      <c r="F825" s="674">
        <f t="shared" si="48"/>
        <v>350583.15217391308</v>
      </c>
      <c r="G825" s="1265">
        <f t="shared" si="51"/>
        <v>45697.653247631715</v>
      </c>
      <c r="H825" s="1268">
        <f t="shared" si="52"/>
        <v>45697.653247631715</v>
      </c>
      <c r="I825" s="727">
        <f t="shared" si="49"/>
        <v>0</v>
      </c>
      <c r="J825" s="727"/>
      <c r="K825" s="877"/>
      <c r="L825" s="733"/>
      <c r="M825" s="877"/>
      <c r="N825" s="733"/>
      <c r="O825" s="733"/>
    </row>
    <row r="826" spans="2:15">
      <c r="B826" s="332"/>
      <c r="C826" s="723">
        <f>IF(D809="","-",+C825+1)</f>
        <v>2025</v>
      </c>
      <c r="D826" s="674">
        <f t="shared" si="50"/>
        <v>350583.15217391308</v>
      </c>
      <c r="E826" s="730">
        <f t="shared" si="53"/>
        <v>9806.5217391304341</v>
      </c>
      <c r="F826" s="674">
        <f t="shared" si="48"/>
        <v>340776.63043478265</v>
      </c>
      <c r="G826" s="1265">
        <f t="shared" si="51"/>
        <v>44707.553068086854</v>
      </c>
      <c r="H826" s="1268">
        <f t="shared" si="52"/>
        <v>44707.553068086854</v>
      </c>
      <c r="I826" s="727">
        <f t="shared" si="49"/>
        <v>0</v>
      </c>
      <c r="J826" s="727"/>
      <c r="K826" s="877"/>
      <c r="L826" s="733"/>
      <c r="M826" s="877"/>
      <c r="N826" s="733"/>
      <c r="O826" s="733"/>
    </row>
    <row r="827" spans="2:15">
      <c r="B827" s="332"/>
      <c r="C827" s="723">
        <f>IF(D809="","-",+C826+1)</f>
        <v>2026</v>
      </c>
      <c r="D827" s="674">
        <f t="shared" si="50"/>
        <v>340776.63043478265</v>
      </c>
      <c r="E827" s="730">
        <f t="shared" si="53"/>
        <v>9806.5217391304341</v>
      </c>
      <c r="F827" s="674">
        <f t="shared" si="48"/>
        <v>330970.10869565222</v>
      </c>
      <c r="G827" s="1265">
        <f t="shared" si="51"/>
        <v>43717.452888541986</v>
      </c>
      <c r="H827" s="1268">
        <f t="shared" si="52"/>
        <v>43717.452888541986</v>
      </c>
      <c r="I827" s="727">
        <f t="shared" si="49"/>
        <v>0</v>
      </c>
      <c r="J827" s="727"/>
      <c r="K827" s="877"/>
      <c r="L827" s="733"/>
      <c r="M827" s="877"/>
      <c r="N827" s="734"/>
      <c r="O827" s="733"/>
    </row>
    <row r="828" spans="2:15">
      <c r="B828" s="332"/>
      <c r="C828" s="723">
        <f>IF(D809="","-",+C827+1)</f>
        <v>2027</v>
      </c>
      <c r="D828" s="674">
        <f t="shared" si="50"/>
        <v>330970.10869565222</v>
      </c>
      <c r="E828" s="730">
        <f t="shared" si="53"/>
        <v>9806.5217391304341</v>
      </c>
      <c r="F828" s="674">
        <f t="shared" si="48"/>
        <v>321163.58695652179</v>
      </c>
      <c r="G828" s="1265">
        <f t="shared" si="51"/>
        <v>42727.352708997132</v>
      </c>
      <c r="H828" s="1268">
        <f t="shared" si="52"/>
        <v>42727.352708997132</v>
      </c>
      <c r="I828" s="727">
        <f t="shared" si="49"/>
        <v>0</v>
      </c>
      <c r="J828" s="727"/>
      <c r="K828" s="877"/>
      <c r="L828" s="733"/>
      <c r="M828" s="877"/>
      <c r="N828" s="733"/>
      <c r="O828" s="733"/>
    </row>
    <row r="829" spans="2:15">
      <c r="B829" s="332"/>
      <c r="C829" s="723">
        <f>IF(D809="","-",+C828+1)</f>
        <v>2028</v>
      </c>
      <c r="D829" s="674">
        <f t="shared" si="50"/>
        <v>321163.58695652179</v>
      </c>
      <c r="E829" s="730">
        <f t="shared" si="53"/>
        <v>9806.5217391304341</v>
      </c>
      <c r="F829" s="674">
        <f t="shared" si="48"/>
        <v>311357.06521739135</v>
      </c>
      <c r="G829" s="1265">
        <f t="shared" si="51"/>
        <v>41737.252529452264</v>
      </c>
      <c r="H829" s="1268">
        <f t="shared" si="52"/>
        <v>41737.252529452264</v>
      </c>
      <c r="I829" s="727">
        <f t="shared" si="49"/>
        <v>0</v>
      </c>
      <c r="J829" s="727"/>
      <c r="K829" s="877"/>
      <c r="L829" s="733"/>
      <c r="M829" s="877"/>
      <c r="N829" s="733"/>
      <c r="O829" s="733"/>
    </row>
    <row r="830" spans="2:15">
      <c r="B830" s="332"/>
      <c r="C830" s="723">
        <f>IF(D809="","-",+C829+1)</f>
        <v>2029</v>
      </c>
      <c r="D830" s="674">
        <f t="shared" si="50"/>
        <v>311357.06521739135</v>
      </c>
      <c r="E830" s="730">
        <f t="shared" si="53"/>
        <v>9806.5217391304341</v>
      </c>
      <c r="F830" s="674">
        <f t="shared" si="48"/>
        <v>301550.54347826092</v>
      </c>
      <c r="G830" s="1265">
        <f t="shared" si="51"/>
        <v>40747.15234990741</v>
      </c>
      <c r="H830" s="1268">
        <f t="shared" si="52"/>
        <v>40747.15234990741</v>
      </c>
      <c r="I830" s="727">
        <f t="shared" si="49"/>
        <v>0</v>
      </c>
      <c r="J830" s="727"/>
      <c r="K830" s="877"/>
      <c r="L830" s="733"/>
      <c r="M830" s="877"/>
      <c r="N830" s="733"/>
      <c r="O830" s="733"/>
    </row>
    <row r="831" spans="2:15">
      <c r="B831" s="332"/>
      <c r="C831" s="723">
        <f>IF(D809="","-",+C830+1)</f>
        <v>2030</v>
      </c>
      <c r="D831" s="674">
        <f t="shared" si="50"/>
        <v>301550.54347826092</v>
      </c>
      <c r="E831" s="730">
        <f t="shared" si="53"/>
        <v>9806.5217391304341</v>
      </c>
      <c r="F831" s="674">
        <f t="shared" si="48"/>
        <v>291744.02173913049</v>
      </c>
      <c r="G831" s="1265">
        <f t="shared" si="51"/>
        <v>39757.052170362542</v>
      </c>
      <c r="H831" s="1268">
        <f t="shared" si="52"/>
        <v>39757.052170362542</v>
      </c>
      <c r="I831" s="727">
        <f t="shared" si="49"/>
        <v>0</v>
      </c>
      <c r="J831" s="727"/>
      <c r="K831" s="877"/>
      <c r="L831" s="733"/>
      <c r="M831" s="877"/>
      <c r="N831" s="733"/>
      <c r="O831" s="733"/>
    </row>
    <row r="832" spans="2:15">
      <c r="B832" s="332"/>
      <c r="C832" s="723">
        <f>IF(D809="","-",+C831+1)</f>
        <v>2031</v>
      </c>
      <c r="D832" s="674">
        <f t="shared" si="50"/>
        <v>291744.02173913049</v>
      </c>
      <c r="E832" s="730">
        <f t="shared" si="53"/>
        <v>9806.5217391304341</v>
      </c>
      <c r="F832" s="674">
        <f t="shared" si="48"/>
        <v>281937.50000000006</v>
      </c>
      <c r="G832" s="1265">
        <f t="shared" si="51"/>
        <v>38766.951990817681</v>
      </c>
      <c r="H832" s="1268">
        <f t="shared" si="52"/>
        <v>38766.951990817681</v>
      </c>
      <c r="I832" s="727">
        <f t="shared" si="49"/>
        <v>0</v>
      </c>
      <c r="J832" s="727"/>
      <c r="K832" s="877"/>
      <c r="L832" s="733"/>
      <c r="M832" s="877"/>
      <c r="N832" s="733"/>
      <c r="O832" s="733"/>
    </row>
    <row r="833" spans="2:15">
      <c r="B833" s="332"/>
      <c r="C833" s="723">
        <f>IF(D809="","-",+C832+1)</f>
        <v>2032</v>
      </c>
      <c r="D833" s="674">
        <f t="shared" si="50"/>
        <v>281937.50000000006</v>
      </c>
      <c r="E833" s="730">
        <f t="shared" si="53"/>
        <v>9806.5217391304341</v>
      </c>
      <c r="F833" s="674">
        <f t="shared" si="48"/>
        <v>272130.97826086963</v>
      </c>
      <c r="G833" s="1265">
        <f t="shared" si="51"/>
        <v>37776.851811272812</v>
      </c>
      <c r="H833" s="1268">
        <f t="shared" si="52"/>
        <v>37776.851811272812</v>
      </c>
      <c r="I833" s="727">
        <f t="shared" si="49"/>
        <v>0</v>
      </c>
      <c r="J833" s="727"/>
      <c r="K833" s="877"/>
      <c r="L833" s="733"/>
      <c r="M833" s="877"/>
      <c r="N833" s="733"/>
      <c r="O833" s="733"/>
    </row>
    <row r="834" spans="2:15">
      <c r="B834" s="332"/>
      <c r="C834" s="723">
        <f>IF(D809="","-",+C833+1)</f>
        <v>2033</v>
      </c>
      <c r="D834" s="674">
        <f t="shared" si="50"/>
        <v>272130.97826086963</v>
      </c>
      <c r="E834" s="730">
        <f t="shared" si="53"/>
        <v>9806.5217391304341</v>
      </c>
      <c r="F834" s="674">
        <f t="shared" si="48"/>
        <v>262324.45652173919</v>
      </c>
      <c r="G834" s="1265">
        <f t="shared" si="51"/>
        <v>36786.751631727959</v>
      </c>
      <c r="H834" s="1268">
        <f t="shared" si="52"/>
        <v>36786.751631727959</v>
      </c>
      <c r="I834" s="727">
        <f t="shared" si="49"/>
        <v>0</v>
      </c>
      <c r="J834" s="727"/>
      <c r="K834" s="877"/>
      <c r="L834" s="733"/>
      <c r="M834" s="877"/>
      <c r="N834" s="733"/>
      <c r="O834" s="733"/>
    </row>
    <row r="835" spans="2:15">
      <c r="B835" s="332"/>
      <c r="C835" s="723">
        <f>IF(D809="","-",+C834+1)</f>
        <v>2034</v>
      </c>
      <c r="D835" s="674">
        <f t="shared" si="50"/>
        <v>262324.45652173919</v>
      </c>
      <c r="E835" s="730">
        <f t="shared" si="53"/>
        <v>9806.5217391304341</v>
      </c>
      <c r="F835" s="674">
        <f t="shared" si="48"/>
        <v>252517.93478260876</v>
      </c>
      <c r="G835" s="1265">
        <f t="shared" si="51"/>
        <v>35796.65145218309</v>
      </c>
      <c r="H835" s="1268">
        <f t="shared" si="52"/>
        <v>35796.65145218309</v>
      </c>
      <c r="I835" s="727">
        <f t="shared" si="49"/>
        <v>0</v>
      </c>
      <c r="J835" s="727"/>
      <c r="K835" s="877"/>
      <c r="L835" s="733"/>
      <c r="M835" s="877"/>
      <c r="N835" s="733"/>
      <c r="O835" s="733"/>
    </row>
    <row r="836" spans="2:15">
      <c r="B836" s="332"/>
      <c r="C836" s="723">
        <f>IF(D809="","-",+C835+1)</f>
        <v>2035</v>
      </c>
      <c r="D836" s="674">
        <f t="shared" si="50"/>
        <v>252517.93478260876</v>
      </c>
      <c r="E836" s="730">
        <f t="shared" si="53"/>
        <v>9806.5217391304341</v>
      </c>
      <c r="F836" s="674">
        <f t="shared" si="48"/>
        <v>242711.41304347833</v>
      </c>
      <c r="G836" s="1265">
        <f t="shared" si="51"/>
        <v>34806.551272638229</v>
      </c>
      <c r="H836" s="1268">
        <f t="shared" si="52"/>
        <v>34806.551272638229</v>
      </c>
      <c r="I836" s="727">
        <f t="shared" si="49"/>
        <v>0</v>
      </c>
      <c r="J836" s="727"/>
      <c r="K836" s="877"/>
      <c r="L836" s="733"/>
      <c r="M836" s="877"/>
      <c r="N836" s="733"/>
      <c r="O836" s="733"/>
    </row>
    <row r="837" spans="2:15">
      <c r="B837" s="332"/>
      <c r="C837" s="723">
        <f>IF(D809="","-",+C836+1)</f>
        <v>2036</v>
      </c>
      <c r="D837" s="674">
        <f t="shared" si="50"/>
        <v>242711.41304347833</v>
      </c>
      <c r="E837" s="730">
        <f t="shared" si="53"/>
        <v>9806.5217391304341</v>
      </c>
      <c r="F837" s="674">
        <f t="shared" si="48"/>
        <v>232904.8913043479</v>
      </c>
      <c r="G837" s="1265">
        <f t="shared" si="51"/>
        <v>33816.451093093368</v>
      </c>
      <c r="H837" s="1268">
        <f t="shared" si="52"/>
        <v>33816.451093093368</v>
      </c>
      <c r="I837" s="727">
        <f t="shared" si="49"/>
        <v>0</v>
      </c>
      <c r="J837" s="727"/>
      <c r="K837" s="877"/>
      <c r="L837" s="733"/>
      <c r="M837" s="877"/>
      <c r="N837" s="733"/>
      <c r="O837" s="733"/>
    </row>
    <row r="838" spans="2:15">
      <c r="B838" s="332"/>
      <c r="C838" s="723">
        <f>IF(D809="","-",+C837+1)</f>
        <v>2037</v>
      </c>
      <c r="D838" s="674">
        <f t="shared" si="50"/>
        <v>232904.8913043479</v>
      </c>
      <c r="E838" s="730">
        <f t="shared" si="53"/>
        <v>9806.5217391304341</v>
      </c>
      <c r="F838" s="674">
        <f t="shared" si="48"/>
        <v>223098.36956521746</v>
      </c>
      <c r="G838" s="1265">
        <f t="shared" si="51"/>
        <v>32826.350913548507</v>
      </c>
      <c r="H838" s="1268">
        <f t="shared" si="52"/>
        <v>32826.350913548507</v>
      </c>
      <c r="I838" s="727">
        <f t="shared" si="49"/>
        <v>0</v>
      </c>
      <c r="J838" s="727"/>
      <c r="K838" s="877"/>
      <c r="L838" s="733"/>
      <c r="M838" s="877"/>
      <c r="N838" s="733"/>
      <c r="O838" s="733"/>
    </row>
    <row r="839" spans="2:15">
      <c r="B839" s="332"/>
      <c r="C839" s="723">
        <f>IF(D809="","-",+C838+1)</f>
        <v>2038</v>
      </c>
      <c r="D839" s="674">
        <f t="shared" si="50"/>
        <v>223098.36956521746</v>
      </c>
      <c r="E839" s="730">
        <f t="shared" si="53"/>
        <v>9806.5217391304341</v>
      </c>
      <c r="F839" s="674">
        <f t="shared" si="48"/>
        <v>213291.84782608703</v>
      </c>
      <c r="G839" s="1265">
        <f t="shared" si="51"/>
        <v>31836.250734003639</v>
      </c>
      <c r="H839" s="1268">
        <f t="shared" si="52"/>
        <v>31836.250734003639</v>
      </c>
      <c r="I839" s="727">
        <f t="shared" si="49"/>
        <v>0</v>
      </c>
      <c r="J839" s="727"/>
      <c r="K839" s="877"/>
      <c r="L839" s="733"/>
      <c r="M839" s="877"/>
      <c r="N839" s="733"/>
      <c r="O839" s="733"/>
    </row>
    <row r="840" spans="2:15">
      <c r="B840" s="332"/>
      <c r="C840" s="723">
        <f>IF(D809="","-",+C839+1)</f>
        <v>2039</v>
      </c>
      <c r="D840" s="674">
        <f t="shared" si="50"/>
        <v>213291.84782608703</v>
      </c>
      <c r="E840" s="730">
        <f t="shared" si="53"/>
        <v>9806.5217391304341</v>
      </c>
      <c r="F840" s="674">
        <f t="shared" si="48"/>
        <v>203485.3260869566</v>
      </c>
      <c r="G840" s="1265">
        <f t="shared" si="51"/>
        <v>30846.150554458778</v>
      </c>
      <c r="H840" s="1268">
        <f t="shared" si="52"/>
        <v>30846.150554458778</v>
      </c>
      <c r="I840" s="727">
        <f t="shared" si="49"/>
        <v>0</v>
      </c>
      <c r="J840" s="727"/>
      <c r="K840" s="877"/>
      <c r="L840" s="733"/>
      <c r="M840" s="877"/>
      <c r="N840" s="733"/>
      <c r="O840" s="733"/>
    </row>
    <row r="841" spans="2:15">
      <c r="B841" s="332"/>
      <c r="C841" s="723">
        <f>IF(D809="","-",+C840+1)</f>
        <v>2040</v>
      </c>
      <c r="D841" s="674">
        <f t="shared" si="50"/>
        <v>203485.3260869566</v>
      </c>
      <c r="E841" s="730">
        <f t="shared" si="53"/>
        <v>9806.5217391304341</v>
      </c>
      <c r="F841" s="674">
        <f t="shared" si="48"/>
        <v>193678.80434782617</v>
      </c>
      <c r="G841" s="1265">
        <f t="shared" si="51"/>
        <v>29856.050374913917</v>
      </c>
      <c r="H841" s="1268">
        <f t="shared" si="52"/>
        <v>29856.050374913917</v>
      </c>
      <c r="I841" s="727">
        <f t="shared" si="49"/>
        <v>0</v>
      </c>
      <c r="J841" s="727"/>
      <c r="K841" s="877"/>
      <c r="L841" s="733"/>
      <c r="M841" s="877"/>
      <c r="N841" s="733"/>
      <c r="O841" s="733"/>
    </row>
    <row r="842" spans="2:15">
      <c r="B842" s="332"/>
      <c r="C842" s="723">
        <f>IF(D809="","-",+C841+1)</f>
        <v>2041</v>
      </c>
      <c r="D842" s="674">
        <f t="shared" si="50"/>
        <v>193678.80434782617</v>
      </c>
      <c r="E842" s="730">
        <f t="shared" si="53"/>
        <v>9806.5217391304341</v>
      </c>
      <c r="F842" s="674">
        <f t="shared" si="48"/>
        <v>183872.28260869574</v>
      </c>
      <c r="G842" s="1265">
        <f t="shared" si="51"/>
        <v>28865.950195369056</v>
      </c>
      <c r="H842" s="1268">
        <f t="shared" si="52"/>
        <v>28865.950195369056</v>
      </c>
      <c r="I842" s="727">
        <f t="shared" si="49"/>
        <v>0</v>
      </c>
      <c r="J842" s="727"/>
      <c r="K842" s="877"/>
      <c r="L842" s="733"/>
      <c r="M842" s="877"/>
      <c r="N842" s="733"/>
      <c r="O842" s="733"/>
    </row>
    <row r="843" spans="2:15">
      <c r="B843" s="332"/>
      <c r="C843" s="723">
        <f>IF(D809="","-",+C842+1)</f>
        <v>2042</v>
      </c>
      <c r="D843" s="674">
        <f t="shared" si="50"/>
        <v>183872.28260869574</v>
      </c>
      <c r="E843" s="730">
        <f t="shared" si="53"/>
        <v>9806.5217391304341</v>
      </c>
      <c r="F843" s="674">
        <f t="shared" si="48"/>
        <v>174065.7608695653</v>
      </c>
      <c r="G843" s="1274">
        <f t="shared" si="51"/>
        <v>27875.850015824188</v>
      </c>
      <c r="H843" s="1268">
        <f t="shared" si="52"/>
        <v>27875.850015824188</v>
      </c>
      <c r="I843" s="727">
        <f t="shared" si="49"/>
        <v>0</v>
      </c>
      <c r="J843" s="727"/>
      <c r="K843" s="877"/>
      <c r="L843" s="733"/>
      <c r="M843" s="877"/>
      <c r="N843" s="733"/>
      <c r="O843" s="733"/>
    </row>
    <row r="844" spans="2:15">
      <c r="B844" s="332"/>
      <c r="C844" s="723">
        <f>IF(D809="","-",+C843+1)</f>
        <v>2043</v>
      </c>
      <c r="D844" s="674">
        <f t="shared" si="50"/>
        <v>174065.7608695653</v>
      </c>
      <c r="E844" s="730">
        <f t="shared" si="53"/>
        <v>9806.5217391304341</v>
      </c>
      <c r="F844" s="674">
        <f t="shared" si="48"/>
        <v>164259.23913043487</v>
      </c>
      <c r="G844" s="1265">
        <f t="shared" si="51"/>
        <v>26885.749836279327</v>
      </c>
      <c r="H844" s="1268">
        <f t="shared" si="52"/>
        <v>26885.749836279327</v>
      </c>
      <c r="I844" s="727">
        <f t="shared" si="49"/>
        <v>0</v>
      </c>
      <c r="J844" s="727"/>
      <c r="K844" s="877"/>
      <c r="L844" s="733"/>
      <c r="M844" s="877"/>
      <c r="N844" s="733"/>
      <c r="O844" s="733"/>
    </row>
    <row r="845" spans="2:15">
      <c r="B845" s="332"/>
      <c r="C845" s="723">
        <f>IF(D809="","-",+C844+1)</f>
        <v>2044</v>
      </c>
      <c r="D845" s="674">
        <f t="shared" si="50"/>
        <v>164259.23913043487</v>
      </c>
      <c r="E845" s="730">
        <f t="shared" si="53"/>
        <v>9806.5217391304341</v>
      </c>
      <c r="F845" s="674">
        <f t="shared" si="48"/>
        <v>154452.71739130444</v>
      </c>
      <c r="G845" s="1265">
        <f t="shared" si="51"/>
        <v>25895.649656734466</v>
      </c>
      <c r="H845" s="1268">
        <f t="shared" si="52"/>
        <v>25895.649656734466</v>
      </c>
      <c r="I845" s="727">
        <f t="shared" si="49"/>
        <v>0</v>
      </c>
      <c r="J845" s="727"/>
      <c r="K845" s="877"/>
      <c r="L845" s="733"/>
      <c r="M845" s="877"/>
      <c r="N845" s="733"/>
      <c r="O845" s="733"/>
    </row>
    <row r="846" spans="2:15">
      <c r="B846" s="332"/>
      <c r="C846" s="723">
        <f>IF(D809="","-",+C845+1)</f>
        <v>2045</v>
      </c>
      <c r="D846" s="674">
        <f t="shared" si="50"/>
        <v>154452.71739130444</v>
      </c>
      <c r="E846" s="730">
        <f t="shared" si="53"/>
        <v>9806.5217391304341</v>
      </c>
      <c r="F846" s="674">
        <f t="shared" si="48"/>
        <v>144646.19565217401</v>
      </c>
      <c r="G846" s="1265">
        <f t="shared" si="51"/>
        <v>24905.549477189605</v>
      </c>
      <c r="H846" s="1268">
        <f t="shared" si="52"/>
        <v>24905.549477189605</v>
      </c>
      <c r="I846" s="727">
        <f t="shared" si="49"/>
        <v>0</v>
      </c>
      <c r="J846" s="727"/>
      <c r="K846" s="877"/>
      <c r="L846" s="733"/>
      <c r="M846" s="877"/>
      <c r="N846" s="733"/>
      <c r="O846" s="733"/>
    </row>
    <row r="847" spans="2:15">
      <c r="B847" s="332"/>
      <c r="C847" s="723">
        <f>IF(D809="","-",+C846+1)</f>
        <v>2046</v>
      </c>
      <c r="D847" s="674">
        <f t="shared" si="50"/>
        <v>144646.19565217401</v>
      </c>
      <c r="E847" s="730">
        <f t="shared" si="53"/>
        <v>9806.5217391304341</v>
      </c>
      <c r="F847" s="674">
        <f t="shared" si="48"/>
        <v>134839.67391304357</v>
      </c>
      <c r="G847" s="1265">
        <f t="shared" si="51"/>
        <v>23915.44929764474</v>
      </c>
      <c r="H847" s="1268">
        <f t="shared" si="52"/>
        <v>23915.44929764474</v>
      </c>
      <c r="I847" s="727">
        <f t="shared" si="49"/>
        <v>0</v>
      </c>
      <c r="J847" s="727"/>
      <c r="K847" s="877"/>
      <c r="L847" s="733"/>
      <c r="M847" s="877"/>
      <c r="N847" s="733"/>
      <c r="O847" s="733"/>
    </row>
    <row r="848" spans="2:15">
      <c r="B848" s="332"/>
      <c r="C848" s="723">
        <f>IF(D809="","-",+C847+1)</f>
        <v>2047</v>
      </c>
      <c r="D848" s="674">
        <f t="shared" si="50"/>
        <v>134839.67391304357</v>
      </c>
      <c r="E848" s="730">
        <f t="shared" si="53"/>
        <v>9806.5217391304341</v>
      </c>
      <c r="F848" s="674">
        <f t="shared" si="48"/>
        <v>125033.15217391314</v>
      </c>
      <c r="G848" s="1265">
        <f t="shared" si="51"/>
        <v>22925.349118099875</v>
      </c>
      <c r="H848" s="1268">
        <f t="shared" si="52"/>
        <v>22925.349118099875</v>
      </c>
      <c r="I848" s="727">
        <f t="shared" si="49"/>
        <v>0</v>
      </c>
      <c r="J848" s="727"/>
      <c r="K848" s="877"/>
      <c r="L848" s="733"/>
      <c r="M848" s="877"/>
      <c r="N848" s="733"/>
      <c r="O848" s="733"/>
    </row>
    <row r="849" spans="2:15">
      <c r="B849" s="332"/>
      <c r="C849" s="723">
        <f>IF(D809="","-",+C848+1)</f>
        <v>2048</v>
      </c>
      <c r="D849" s="674">
        <f t="shared" si="50"/>
        <v>125033.15217391314</v>
      </c>
      <c r="E849" s="730">
        <f t="shared" si="53"/>
        <v>9806.5217391304341</v>
      </c>
      <c r="F849" s="674">
        <f t="shared" si="48"/>
        <v>115226.63043478271</v>
      </c>
      <c r="G849" s="1265">
        <f t="shared" si="51"/>
        <v>21935.248938555014</v>
      </c>
      <c r="H849" s="1268">
        <f t="shared" si="52"/>
        <v>21935.248938555014</v>
      </c>
      <c r="I849" s="727">
        <f t="shared" si="49"/>
        <v>0</v>
      </c>
      <c r="J849" s="727"/>
      <c r="K849" s="877"/>
      <c r="L849" s="733"/>
      <c r="M849" s="877"/>
      <c r="N849" s="733"/>
      <c r="O849" s="733"/>
    </row>
    <row r="850" spans="2:15">
      <c r="B850" s="332"/>
      <c r="C850" s="723">
        <f>IF(D809="","-",+C849+1)</f>
        <v>2049</v>
      </c>
      <c r="D850" s="674">
        <f t="shared" si="50"/>
        <v>115226.63043478271</v>
      </c>
      <c r="E850" s="730">
        <f t="shared" si="53"/>
        <v>9806.5217391304341</v>
      </c>
      <c r="F850" s="674">
        <f t="shared" si="48"/>
        <v>105420.10869565228</v>
      </c>
      <c r="G850" s="1265">
        <f t="shared" si="51"/>
        <v>20945.148759010153</v>
      </c>
      <c r="H850" s="1268">
        <f t="shared" si="52"/>
        <v>20945.148759010153</v>
      </c>
      <c r="I850" s="727">
        <f t="shared" si="49"/>
        <v>0</v>
      </c>
      <c r="J850" s="727"/>
      <c r="K850" s="877"/>
      <c r="L850" s="733"/>
      <c r="M850" s="877"/>
      <c r="N850" s="733"/>
      <c r="O850" s="733"/>
    </row>
    <row r="851" spans="2:15">
      <c r="B851" s="332"/>
      <c r="C851" s="723">
        <f>IF(D809="","-",+C850+1)</f>
        <v>2050</v>
      </c>
      <c r="D851" s="674">
        <f t="shared" si="50"/>
        <v>105420.10869565228</v>
      </c>
      <c r="E851" s="730">
        <f t="shared" si="53"/>
        <v>9806.5217391304341</v>
      </c>
      <c r="F851" s="674">
        <f t="shared" si="48"/>
        <v>95613.586956521845</v>
      </c>
      <c r="G851" s="1265">
        <f t="shared" si="51"/>
        <v>19955.048579465292</v>
      </c>
      <c r="H851" s="1268">
        <f t="shared" si="52"/>
        <v>19955.048579465292</v>
      </c>
      <c r="I851" s="727">
        <f t="shared" si="49"/>
        <v>0</v>
      </c>
      <c r="J851" s="727"/>
      <c r="K851" s="877"/>
      <c r="L851" s="733"/>
      <c r="M851" s="877"/>
      <c r="N851" s="733"/>
      <c r="O851" s="733"/>
    </row>
    <row r="852" spans="2:15">
      <c r="B852" s="332"/>
      <c r="C852" s="723">
        <f>IF(D809="","-",+C851+1)</f>
        <v>2051</v>
      </c>
      <c r="D852" s="674">
        <f t="shared" si="50"/>
        <v>95613.586956521845</v>
      </c>
      <c r="E852" s="730">
        <f t="shared" si="53"/>
        <v>9806.5217391304341</v>
      </c>
      <c r="F852" s="674">
        <f t="shared" si="48"/>
        <v>85807.065217391413</v>
      </c>
      <c r="G852" s="1265">
        <f t="shared" si="51"/>
        <v>18964.948399920428</v>
      </c>
      <c r="H852" s="1268">
        <f t="shared" si="52"/>
        <v>18964.948399920428</v>
      </c>
      <c r="I852" s="727">
        <f t="shared" si="49"/>
        <v>0</v>
      </c>
      <c r="J852" s="727"/>
      <c r="K852" s="877"/>
      <c r="L852" s="733"/>
      <c r="M852" s="877"/>
      <c r="N852" s="733"/>
      <c r="O852" s="733"/>
    </row>
    <row r="853" spans="2:15">
      <c r="B853" s="332"/>
      <c r="C853" s="723">
        <f>IF(D809="","-",+C852+1)</f>
        <v>2052</v>
      </c>
      <c r="D853" s="674">
        <f t="shared" si="50"/>
        <v>85807.065217391413</v>
      </c>
      <c r="E853" s="730">
        <f t="shared" si="53"/>
        <v>9806.5217391304341</v>
      </c>
      <c r="F853" s="674">
        <f t="shared" si="48"/>
        <v>76000.543478260981</v>
      </c>
      <c r="G853" s="1265">
        <f t="shared" si="51"/>
        <v>17974.848220375563</v>
      </c>
      <c r="H853" s="1268">
        <f t="shared" si="52"/>
        <v>17974.848220375563</v>
      </c>
      <c r="I853" s="727">
        <f t="shared" si="49"/>
        <v>0</v>
      </c>
      <c r="J853" s="727"/>
      <c r="K853" s="877"/>
      <c r="L853" s="733"/>
      <c r="M853" s="877"/>
      <c r="N853" s="733"/>
      <c r="O853" s="733"/>
    </row>
    <row r="854" spans="2:15">
      <c r="B854" s="332"/>
      <c r="C854" s="723">
        <f>IF(D809="","-",+C853+1)</f>
        <v>2053</v>
      </c>
      <c r="D854" s="674">
        <f t="shared" si="50"/>
        <v>76000.543478260981</v>
      </c>
      <c r="E854" s="730">
        <f t="shared" si="53"/>
        <v>9806.5217391304341</v>
      </c>
      <c r="F854" s="674">
        <f t="shared" si="48"/>
        <v>66194.021739130549</v>
      </c>
      <c r="G854" s="1265">
        <f t="shared" si="51"/>
        <v>16984.748040830702</v>
      </c>
      <c r="H854" s="1268">
        <f t="shared" si="52"/>
        <v>16984.748040830702</v>
      </c>
      <c r="I854" s="727">
        <f t="shared" si="49"/>
        <v>0</v>
      </c>
      <c r="J854" s="727"/>
      <c r="K854" s="877"/>
      <c r="L854" s="733"/>
      <c r="M854" s="877"/>
      <c r="N854" s="733"/>
      <c r="O854" s="733"/>
    </row>
    <row r="855" spans="2:15">
      <c r="B855" s="332"/>
      <c r="C855" s="723">
        <f>IF(D809="","-",+C854+1)</f>
        <v>2054</v>
      </c>
      <c r="D855" s="674">
        <f t="shared" si="50"/>
        <v>66194.021739130549</v>
      </c>
      <c r="E855" s="730">
        <f t="shared" si="53"/>
        <v>9806.5217391304341</v>
      </c>
      <c r="F855" s="674">
        <f t="shared" si="48"/>
        <v>56387.500000000116</v>
      </c>
      <c r="G855" s="1265">
        <f t="shared" si="51"/>
        <v>15994.647861285839</v>
      </c>
      <c r="H855" s="1268">
        <f t="shared" si="52"/>
        <v>15994.647861285839</v>
      </c>
      <c r="I855" s="727">
        <f t="shared" si="49"/>
        <v>0</v>
      </c>
      <c r="J855" s="727"/>
      <c r="K855" s="877"/>
      <c r="L855" s="733"/>
      <c r="M855" s="877"/>
      <c r="N855" s="733"/>
      <c r="O855" s="733"/>
    </row>
    <row r="856" spans="2:15">
      <c r="B856" s="332"/>
      <c r="C856" s="723">
        <f>IF(D809="","-",+C855+1)</f>
        <v>2055</v>
      </c>
      <c r="D856" s="674">
        <f t="shared" si="50"/>
        <v>56387.500000000116</v>
      </c>
      <c r="E856" s="730">
        <f t="shared" si="53"/>
        <v>9806.5217391304341</v>
      </c>
      <c r="F856" s="674">
        <f t="shared" si="48"/>
        <v>46580.978260869684</v>
      </c>
      <c r="G856" s="1265">
        <f t="shared" si="51"/>
        <v>15004.547681740976</v>
      </c>
      <c r="H856" s="1268">
        <f t="shared" si="52"/>
        <v>15004.547681740976</v>
      </c>
      <c r="I856" s="727">
        <f t="shared" si="49"/>
        <v>0</v>
      </c>
      <c r="J856" s="727"/>
      <c r="K856" s="877"/>
      <c r="L856" s="733"/>
      <c r="M856" s="877"/>
      <c r="N856" s="733"/>
      <c r="O856" s="733"/>
    </row>
    <row r="857" spans="2:15">
      <c r="B857" s="332"/>
      <c r="C857" s="723">
        <f>IF(D809="","-",+C856+1)</f>
        <v>2056</v>
      </c>
      <c r="D857" s="674">
        <f t="shared" si="50"/>
        <v>46580.978260869684</v>
      </c>
      <c r="E857" s="730">
        <f t="shared" si="53"/>
        <v>9806.5217391304341</v>
      </c>
      <c r="F857" s="674">
        <f t="shared" si="48"/>
        <v>36774.456521739252</v>
      </c>
      <c r="G857" s="1265">
        <f t="shared" si="51"/>
        <v>14014.447502196113</v>
      </c>
      <c r="H857" s="1268">
        <f t="shared" si="52"/>
        <v>14014.447502196113</v>
      </c>
      <c r="I857" s="727">
        <f t="shared" si="49"/>
        <v>0</v>
      </c>
      <c r="J857" s="727"/>
      <c r="K857" s="877"/>
      <c r="L857" s="733"/>
      <c r="M857" s="877"/>
      <c r="N857" s="733"/>
      <c r="O857" s="733"/>
    </row>
    <row r="858" spans="2:15">
      <c r="B858" s="332"/>
      <c r="C858" s="723">
        <f>IF(D809="","-",+C857+1)</f>
        <v>2057</v>
      </c>
      <c r="D858" s="674">
        <f t="shared" si="50"/>
        <v>36774.456521739252</v>
      </c>
      <c r="E858" s="730">
        <f t="shared" si="53"/>
        <v>9806.5217391304341</v>
      </c>
      <c r="F858" s="674">
        <f t="shared" si="48"/>
        <v>26967.93478260882</v>
      </c>
      <c r="G858" s="1265">
        <f t="shared" si="51"/>
        <v>13024.347322651251</v>
      </c>
      <c r="H858" s="1268">
        <f t="shared" si="52"/>
        <v>13024.347322651251</v>
      </c>
      <c r="I858" s="727">
        <f t="shared" si="49"/>
        <v>0</v>
      </c>
      <c r="J858" s="727"/>
      <c r="K858" s="877"/>
      <c r="L858" s="733"/>
      <c r="M858" s="877"/>
      <c r="N858" s="733"/>
      <c r="O858" s="733"/>
    </row>
    <row r="859" spans="2:15">
      <c r="B859" s="332"/>
      <c r="C859" s="723">
        <f>IF(D809="","-",+C858+1)</f>
        <v>2058</v>
      </c>
      <c r="D859" s="674">
        <f t="shared" si="50"/>
        <v>26967.93478260882</v>
      </c>
      <c r="E859" s="730">
        <f t="shared" si="53"/>
        <v>9806.5217391304341</v>
      </c>
      <c r="F859" s="674">
        <f t="shared" si="48"/>
        <v>17161.413043478387</v>
      </c>
      <c r="G859" s="1265">
        <f t="shared" si="51"/>
        <v>12034.247143106388</v>
      </c>
      <c r="H859" s="1268">
        <f t="shared" si="52"/>
        <v>12034.247143106388</v>
      </c>
      <c r="I859" s="727">
        <f t="shared" si="49"/>
        <v>0</v>
      </c>
      <c r="J859" s="727"/>
      <c r="K859" s="877"/>
      <c r="L859" s="733"/>
      <c r="M859" s="877"/>
      <c r="N859" s="733"/>
      <c r="O859" s="733"/>
    </row>
    <row r="860" spans="2:15">
      <c r="B860" s="332"/>
      <c r="C860" s="723">
        <f>IF(D809="","-",+C859+1)</f>
        <v>2059</v>
      </c>
      <c r="D860" s="674">
        <f t="shared" si="50"/>
        <v>17161.413043478387</v>
      </c>
      <c r="E860" s="730">
        <f t="shared" si="53"/>
        <v>9806.5217391304341</v>
      </c>
      <c r="F860" s="674">
        <f t="shared" si="48"/>
        <v>7354.8913043479533</v>
      </c>
      <c r="G860" s="1265">
        <f t="shared" si="51"/>
        <v>11044.146963561525</v>
      </c>
      <c r="H860" s="1268">
        <f t="shared" si="52"/>
        <v>11044.146963561525</v>
      </c>
      <c r="I860" s="727">
        <f t="shared" si="49"/>
        <v>0</v>
      </c>
      <c r="J860" s="727"/>
      <c r="K860" s="877"/>
      <c r="L860" s="733"/>
      <c r="M860" s="877"/>
      <c r="N860" s="733"/>
      <c r="O860" s="733"/>
    </row>
    <row r="861" spans="2:15">
      <c r="B861" s="332"/>
      <c r="C861" s="723">
        <f>IF(D809="","-",+C860+1)</f>
        <v>2060</v>
      </c>
      <c r="D861" s="674">
        <f t="shared" si="50"/>
        <v>7354.8913043479533</v>
      </c>
      <c r="E861" s="730">
        <f t="shared" si="53"/>
        <v>7354.8913043479533</v>
      </c>
      <c r="F861" s="674">
        <f t="shared" si="48"/>
        <v>0</v>
      </c>
      <c r="G861" s="1265">
        <f t="shared" si="51"/>
        <v>7726.1788716772835</v>
      </c>
      <c r="H861" s="1268">
        <f t="shared" si="52"/>
        <v>7726.1788716772835</v>
      </c>
      <c r="I861" s="727">
        <f t="shared" si="49"/>
        <v>0</v>
      </c>
      <c r="J861" s="727"/>
      <c r="K861" s="877"/>
      <c r="L861" s="733"/>
      <c r="M861" s="877"/>
      <c r="N861" s="733"/>
      <c r="O861" s="733"/>
    </row>
    <row r="862" spans="2:15">
      <c r="B862" s="332"/>
      <c r="C862" s="723">
        <f>IF(D809="","-",+C861+1)</f>
        <v>2061</v>
      </c>
      <c r="D862" s="674">
        <f t="shared" si="50"/>
        <v>0</v>
      </c>
      <c r="E862" s="730">
        <f t="shared" si="53"/>
        <v>0</v>
      </c>
      <c r="F862" s="674">
        <f t="shared" si="48"/>
        <v>0</v>
      </c>
      <c r="G862" s="1265">
        <f t="shared" si="51"/>
        <v>0</v>
      </c>
      <c r="H862" s="1268">
        <f t="shared" si="52"/>
        <v>0</v>
      </c>
      <c r="I862" s="727">
        <f t="shared" si="49"/>
        <v>0</v>
      </c>
      <c r="J862" s="727"/>
      <c r="K862" s="877"/>
      <c r="L862" s="733"/>
      <c r="M862" s="877"/>
      <c r="N862" s="733"/>
      <c r="O862" s="733"/>
    </row>
    <row r="863" spans="2:15">
      <c r="B863" s="332"/>
      <c r="C863" s="723">
        <f>IF(D809="","-",+C862+1)</f>
        <v>2062</v>
      </c>
      <c r="D863" s="674">
        <f t="shared" si="50"/>
        <v>0</v>
      </c>
      <c r="E863" s="730">
        <f t="shared" si="53"/>
        <v>0</v>
      </c>
      <c r="F863" s="674">
        <f t="shared" si="48"/>
        <v>0</v>
      </c>
      <c r="G863" s="1265">
        <f t="shared" si="51"/>
        <v>0</v>
      </c>
      <c r="H863" s="1268">
        <f t="shared" si="52"/>
        <v>0</v>
      </c>
      <c r="I863" s="727">
        <f t="shared" si="49"/>
        <v>0</v>
      </c>
      <c r="J863" s="727"/>
      <c r="K863" s="877"/>
      <c r="L863" s="733"/>
      <c r="M863" s="877"/>
      <c r="N863" s="733"/>
      <c r="O863" s="733"/>
    </row>
    <row r="864" spans="2:15">
      <c r="B864" s="332"/>
      <c r="C864" s="723">
        <f>IF(D809="","-",+C863+1)</f>
        <v>2063</v>
      </c>
      <c r="D864" s="674">
        <f t="shared" si="50"/>
        <v>0</v>
      </c>
      <c r="E864" s="730">
        <f t="shared" si="53"/>
        <v>0</v>
      </c>
      <c r="F864" s="674">
        <f t="shared" si="48"/>
        <v>0</v>
      </c>
      <c r="G864" s="1265">
        <f t="shared" si="51"/>
        <v>0</v>
      </c>
      <c r="H864" s="1268">
        <f t="shared" si="52"/>
        <v>0</v>
      </c>
      <c r="I864" s="727">
        <f t="shared" si="49"/>
        <v>0</v>
      </c>
      <c r="J864" s="727"/>
      <c r="K864" s="877"/>
      <c r="L864" s="733"/>
      <c r="M864" s="877"/>
      <c r="N864" s="733"/>
      <c r="O864" s="733"/>
    </row>
    <row r="865" spans="2:15">
      <c r="B865" s="332"/>
      <c r="C865" s="723">
        <f>IF(D809="","-",+C864+1)</f>
        <v>2064</v>
      </c>
      <c r="D865" s="674">
        <f t="shared" si="50"/>
        <v>0</v>
      </c>
      <c r="E865" s="730">
        <f t="shared" si="53"/>
        <v>0</v>
      </c>
      <c r="F865" s="674">
        <f t="shared" si="48"/>
        <v>0</v>
      </c>
      <c r="G865" s="1265">
        <f t="shared" si="51"/>
        <v>0</v>
      </c>
      <c r="H865" s="1268">
        <f t="shared" si="52"/>
        <v>0</v>
      </c>
      <c r="I865" s="727">
        <f t="shared" si="49"/>
        <v>0</v>
      </c>
      <c r="J865" s="727"/>
      <c r="K865" s="877"/>
      <c r="L865" s="733"/>
      <c r="M865" s="877"/>
      <c r="N865" s="733"/>
      <c r="O865" s="733"/>
    </row>
    <row r="866" spans="2:15">
      <c r="B866" s="332"/>
      <c r="C866" s="723">
        <f>IF(D809="","-",+C865+1)</f>
        <v>2065</v>
      </c>
      <c r="D866" s="674">
        <f t="shared" si="50"/>
        <v>0</v>
      </c>
      <c r="E866" s="730">
        <f t="shared" si="53"/>
        <v>0</v>
      </c>
      <c r="F866" s="674">
        <f t="shared" si="48"/>
        <v>0</v>
      </c>
      <c r="G866" s="1265">
        <f t="shared" si="51"/>
        <v>0</v>
      </c>
      <c r="H866" s="1268">
        <f t="shared" si="52"/>
        <v>0</v>
      </c>
      <c r="I866" s="727">
        <f t="shared" si="49"/>
        <v>0</v>
      </c>
      <c r="J866" s="727"/>
      <c r="K866" s="877"/>
      <c r="L866" s="733"/>
      <c r="M866" s="877"/>
      <c r="N866" s="733"/>
      <c r="O866" s="733"/>
    </row>
    <row r="867" spans="2:15">
      <c r="B867" s="332"/>
      <c r="C867" s="723">
        <f>IF(D809="","-",+C866+1)</f>
        <v>2066</v>
      </c>
      <c r="D867" s="674">
        <f t="shared" si="50"/>
        <v>0</v>
      </c>
      <c r="E867" s="730">
        <f t="shared" si="53"/>
        <v>0</v>
      </c>
      <c r="F867" s="674">
        <f t="shared" si="48"/>
        <v>0</v>
      </c>
      <c r="G867" s="1265">
        <f t="shared" si="51"/>
        <v>0</v>
      </c>
      <c r="H867" s="1268">
        <f t="shared" si="52"/>
        <v>0</v>
      </c>
      <c r="I867" s="727">
        <f t="shared" si="49"/>
        <v>0</v>
      </c>
      <c r="J867" s="727"/>
      <c r="K867" s="877"/>
      <c r="L867" s="733"/>
      <c r="M867" s="877"/>
      <c r="N867" s="733"/>
      <c r="O867" s="733"/>
    </row>
    <row r="868" spans="2:15">
      <c r="B868" s="332"/>
      <c r="C868" s="723">
        <f>IF(D809="","-",+C867+1)</f>
        <v>2067</v>
      </c>
      <c r="D868" s="674">
        <f t="shared" si="50"/>
        <v>0</v>
      </c>
      <c r="E868" s="730">
        <f t="shared" si="53"/>
        <v>0</v>
      </c>
      <c r="F868" s="674">
        <f t="shared" si="48"/>
        <v>0</v>
      </c>
      <c r="G868" s="1265">
        <f t="shared" si="51"/>
        <v>0</v>
      </c>
      <c r="H868" s="1268">
        <f t="shared" si="52"/>
        <v>0</v>
      </c>
      <c r="I868" s="727">
        <f t="shared" si="49"/>
        <v>0</v>
      </c>
      <c r="J868" s="727"/>
      <c r="K868" s="877"/>
      <c r="L868" s="733"/>
      <c r="M868" s="877"/>
      <c r="N868" s="733"/>
      <c r="O868" s="733"/>
    </row>
    <row r="869" spans="2:15">
      <c r="B869" s="332"/>
      <c r="C869" s="723">
        <f>IF(D809="","-",+C868+1)</f>
        <v>2068</v>
      </c>
      <c r="D869" s="674">
        <f t="shared" si="50"/>
        <v>0</v>
      </c>
      <c r="E869" s="730">
        <f t="shared" si="53"/>
        <v>0</v>
      </c>
      <c r="F869" s="674">
        <f t="shared" si="48"/>
        <v>0</v>
      </c>
      <c r="G869" s="1265">
        <f t="shared" si="51"/>
        <v>0</v>
      </c>
      <c r="H869" s="1268">
        <f t="shared" si="52"/>
        <v>0</v>
      </c>
      <c r="I869" s="727">
        <f t="shared" si="49"/>
        <v>0</v>
      </c>
      <c r="J869" s="727"/>
      <c r="K869" s="877"/>
      <c r="L869" s="733"/>
      <c r="M869" s="877"/>
      <c r="N869" s="733"/>
      <c r="O869" s="733"/>
    </row>
    <row r="870" spans="2:15">
      <c r="B870" s="332"/>
      <c r="C870" s="723">
        <f>IF(D809="","-",+C869+1)</f>
        <v>2069</v>
      </c>
      <c r="D870" s="674">
        <f t="shared" si="50"/>
        <v>0</v>
      </c>
      <c r="E870" s="730">
        <f t="shared" si="53"/>
        <v>0</v>
      </c>
      <c r="F870" s="674">
        <f t="shared" si="48"/>
        <v>0</v>
      </c>
      <c r="G870" s="1265">
        <f t="shared" si="51"/>
        <v>0</v>
      </c>
      <c r="H870" s="1268">
        <f t="shared" si="52"/>
        <v>0</v>
      </c>
      <c r="I870" s="727">
        <f t="shared" si="49"/>
        <v>0</v>
      </c>
      <c r="J870" s="727"/>
      <c r="K870" s="877"/>
      <c r="L870" s="733"/>
      <c r="M870" s="877"/>
      <c r="N870" s="733"/>
      <c r="O870" s="733"/>
    </row>
    <row r="871" spans="2:15">
      <c r="B871" s="332"/>
      <c r="C871" s="723">
        <f>IF(D809="","-",+C870+1)</f>
        <v>2070</v>
      </c>
      <c r="D871" s="674">
        <f t="shared" si="50"/>
        <v>0</v>
      </c>
      <c r="E871" s="730">
        <f t="shared" si="53"/>
        <v>0</v>
      </c>
      <c r="F871" s="674">
        <f t="shared" si="48"/>
        <v>0</v>
      </c>
      <c r="G871" s="1265">
        <f t="shared" si="51"/>
        <v>0</v>
      </c>
      <c r="H871" s="1268">
        <f t="shared" si="52"/>
        <v>0</v>
      </c>
      <c r="I871" s="727">
        <f t="shared" si="49"/>
        <v>0</v>
      </c>
      <c r="J871" s="727"/>
      <c r="K871" s="877"/>
      <c r="L871" s="733"/>
      <c r="M871" s="877"/>
      <c r="N871" s="733"/>
      <c r="O871" s="733"/>
    </row>
    <row r="872" spans="2:15">
      <c r="B872" s="332"/>
      <c r="C872" s="723">
        <f>IF(D809="","-",+C871+1)</f>
        <v>2071</v>
      </c>
      <c r="D872" s="674">
        <f t="shared" si="50"/>
        <v>0</v>
      </c>
      <c r="E872" s="730">
        <f t="shared" si="53"/>
        <v>0</v>
      </c>
      <c r="F872" s="674">
        <f t="shared" si="48"/>
        <v>0</v>
      </c>
      <c r="G872" s="1265">
        <f t="shared" si="51"/>
        <v>0</v>
      </c>
      <c r="H872" s="1268">
        <f t="shared" si="52"/>
        <v>0</v>
      </c>
      <c r="I872" s="727">
        <f t="shared" si="49"/>
        <v>0</v>
      </c>
      <c r="J872" s="727"/>
      <c r="K872" s="877"/>
      <c r="L872" s="733"/>
      <c r="M872" s="877"/>
      <c r="N872" s="733"/>
      <c r="O872" s="733"/>
    </row>
    <row r="873" spans="2:15">
      <c r="B873" s="332"/>
      <c r="C873" s="723">
        <f>IF(D809="","-",+C872+1)</f>
        <v>2072</v>
      </c>
      <c r="D873" s="674">
        <f t="shared" si="50"/>
        <v>0</v>
      </c>
      <c r="E873" s="730">
        <f t="shared" si="53"/>
        <v>0</v>
      </c>
      <c r="F873" s="674">
        <f t="shared" si="48"/>
        <v>0</v>
      </c>
      <c r="G873" s="1265">
        <f t="shared" si="51"/>
        <v>0</v>
      </c>
      <c r="H873" s="1268">
        <f t="shared" si="52"/>
        <v>0</v>
      </c>
      <c r="I873" s="727">
        <f t="shared" si="49"/>
        <v>0</v>
      </c>
      <c r="J873" s="727"/>
      <c r="K873" s="877"/>
      <c r="L873" s="733"/>
      <c r="M873" s="877"/>
      <c r="N873" s="733"/>
      <c r="O873" s="733"/>
    </row>
    <row r="874" spans="2:15" ht="13.5" thickBot="1">
      <c r="B874" s="332"/>
      <c r="C874" s="735">
        <f>IF(D809="","-",+C873+1)</f>
        <v>2073</v>
      </c>
      <c r="D874" s="736">
        <f t="shared" si="50"/>
        <v>0</v>
      </c>
      <c r="E874" s="737">
        <f t="shared" si="53"/>
        <v>0</v>
      </c>
      <c r="F874" s="736">
        <f t="shared" si="48"/>
        <v>0</v>
      </c>
      <c r="G874" s="1275">
        <f t="shared" si="51"/>
        <v>0</v>
      </c>
      <c r="H874" s="1275">
        <f t="shared" si="52"/>
        <v>0</v>
      </c>
      <c r="I874" s="739">
        <f t="shared" si="49"/>
        <v>0</v>
      </c>
      <c r="J874" s="727"/>
      <c r="K874" s="878"/>
      <c r="L874" s="741"/>
      <c r="M874" s="878"/>
      <c r="N874" s="741"/>
      <c r="O874" s="741"/>
    </row>
    <row r="875" spans="2:15">
      <c r="B875" s="332"/>
      <c r="C875" s="674" t="s">
        <v>288</v>
      </c>
      <c r="D875" s="1246"/>
      <c r="E875" s="1246">
        <f>SUM(E815:E874)</f>
        <v>451100.00000000006</v>
      </c>
      <c r="F875" s="1246"/>
      <c r="G875" s="1246">
        <f>SUM(G815:G874)</f>
        <v>1532784.4461527627</v>
      </c>
      <c r="H875" s="1246">
        <f>SUM(H815:H874)</f>
        <v>1532784.4461527627</v>
      </c>
      <c r="I875" s="1246">
        <f>SUM(I815:I874)</f>
        <v>0</v>
      </c>
      <c r="J875" s="1246"/>
      <c r="K875" s="1246"/>
      <c r="L875" s="1246"/>
      <c r="M875" s="1246"/>
      <c r="N875" s="1246"/>
      <c r="O875" s="541"/>
    </row>
    <row r="876" spans="2:15">
      <c r="B876" s="332"/>
      <c r="D876" s="564"/>
      <c r="E876" s="541"/>
      <c r="F876" s="541"/>
      <c r="G876" s="541"/>
      <c r="H876" s="1245"/>
      <c r="I876" s="1245"/>
      <c r="J876" s="1246"/>
      <c r="K876" s="1245"/>
      <c r="L876" s="1245"/>
      <c r="M876" s="1245"/>
      <c r="N876" s="1245"/>
      <c r="O876" s="541"/>
    </row>
    <row r="877" spans="2:15">
      <c r="B877" s="332"/>
      <c r="C877" s="541" t="s">
        <v>601</v>
      </c>
      <c r="D877" s="564"/>
      <c r="E877" s="541"/>
      <c r="F877" s="541"/>
      <c r="G877" s="541"/>
      <c r="H877" s="1245"/>
      <c r="I877" s="1245"/>
      <c r="J877" s="1246"/>
      <c r="K877" s="1245"/>
      <c r="L877" s="1245"/>
      <c r="M877" s="1245"/>
      <c r="N877" s="1245"/>
      <c r="O877" s="541"/>
    </row>
    <row r="878" spans="2:15">
      <c r="B878" s="332"/>
      <c r="D878" s="564"/>
      <c r="E878" s="541"/>
      <c r="F878" s="541"/>
      <c r="G878" s="541"/>
      <c r="H878" s="1245"/>
      <c r="I878" s="1245"/>
      <c r="J878" s="1246"/>
      <c r="K878" s="1245"/>
      <c r="L878" s="1245"/>
      <c r="M878" s="1245"/>
      <c r="N878" s="1245"/>
      <c r="O878" s="541"/>
    </row>
    <row r="879" spans="2:15">
      <c r="B879" s="332"/>
      <c r="C879" s="577" t="s">
        <v>602</v>
      </c>
      <c r="D879" s="674"/>
      <c r="E879" s="674"/>
      <c r="F879" s="674"/>
      <c r="G879" s="1246"/>
      <c r="H879" s="1246"/>
      <c r="I879" s="675"/>
      <c r="J879" s="675"/>
      <c r="K879" s="675"/>
      <c r="L879" s="675"/>
      <c r="M879" s="675"/>
      <c r="N879" s="675"/>
      <c r="O879" s="541"/>
    </row>
    <row r="880" spans="2:15">
      <c r="B880" s="332"/>
      <c r="C880" s="577" t="s">
        <v>476</v>
      </c>
      <c r="D880" s="674"/>
      <c r="E880" s="674"/>
      <c r="F880" s="674"/>
      <c r="G880" s="1246"/>
      <c r="H880" s="1246"/>
      <c r="I880" s="675"/>
      <c r="J880" s="675"/>
      <c r="K880" s="675"/>
      <c r="L880" s="675"/>
      <c r="M880" s="675"/>
      <c r="N880" s="675"/>
      <c r="O880" s="541"/>
    </row>
    <row r="881" spans="1:16">
      <c r="B881" s="332"/>
      <c r="C881" s="577" t="s">
        <v>289</v>
      </c>
      <c r="D881" s="674"/>
      <c r="E881" s="674"/>
      <c r="F881" s="674"/>
      <c r="G881" s="1246"/>
      <c r="H881" s="1246"/>
      <c r="I881" s="675"/>
      <c r="J881" s="675"/>
      <c r="K881" s="675"/>
      <c r="L881" s="675"/>
      <c r="M881" s="675"/>
      <c r="N881" s="675"/>
      <c r="O881" s="541"/>
    </row>
    <row r="882" spans="1:16">
      <c r="B882" s="332"/>
      <c r="C882" s="673"/>
      <c r="D882" s="674"/>
      <c r="E882" s="674"/>
      <c r="F882" s="674"/>
      <c r="G882" s="1246"/>
      <c r="H882" s="1246"/>
      <c r="I882" s="675"/>
      <c r="J882" s="675"/>
      <c r="K882" s="675"/>
      <c r="L882" s="675"/>
      <c r="M882" s="675"/>
      <c r="N882" s="675"/>
      <c r="O882" s="541"/>
    </row>
    <row r="883" spans="1:16">
      <c r="B883" s="332"/>
      <c r="C883" s="1543" t="s">
        <v>460</v>
      </c>
      <c r="D883" s="1543"/>
      <c r="E883" s="1543"/>
      <c r="F883" s="1543"/>
      <c r="G883" s="1543"/>
      <c r="H883" s="1543"/>
      <c r="I883" s="1543"/>
      <c r="J883" s="1543"/>
      <c r="K883" s="1543"/>
      <c r="L883" s="1543"/>
      <c r="M883" s="1543"/>
      <c r="N883" s="1543"/>
      <c r="O883" s="1543"/>
    </row>
    <row r="884" spans="1:16">
      <c r="B884" s="332"/>
      <c r="C884" s="1543"/>
      <c r="D884" s="1543"/>
      <c r="E884" s="1543"/>
      <c r="F884" s="1543"/>
      <c r="G884" s="1543"/>
      <c r="H884" s="1543"/>
      <c r="I884" s="1543"/>
      <c r="J884" s="1543"/>
      <c r="K884" s="1543"/>
      <c r="L884" s="1543"/>
      <c r="M884" s="1543"/>
      <c r="N884" s="1543"/>
      <c r="O884" s="1543"/>
    </row>
    <row r="885" spans="1:16" ht="20.25">
      <c r="A885" s="676" t="s">
        <v>972</v>
      </c>
      <c r="B885" s="541"/>
      <c r="C885" s="656"/>
      <c r="D885" s="564"/>
      <c r="E885" s="541"/>
      <c r="F885" s="646"/>
      <c r="G885" s="541"/>
      <c r="H885" s="1245"/>
      <c r="K885" s="677"/>
      <c r="L885" s="677"/>
      <c r="M885" s="677"/>
      <c r="N885" s="592" t="str">
        <f>"Page "&amp;SUM(P$6:P885)&amp;" of "</f>
        <v xml:space="preserve">Page 11 of </v>
      </c>
      <c r="O885" s="593">
        <f>COUNT(P$6:P$59606)</f>
        <v>14</v>
      </c>
      <c r="P885" s="541">
        <v>1</v>
      </c>
    </row>
    <row r="886" spans="1:16">
      <c r="B886" s="541"/>
      <c r="C886" s="541"/>
      <c r="D886" s="564"/>
      <c r="E886" s="541"/>
      <c r="F886" s="541"/>
      <c r="G886" s="541"/>
      <c r="H886" s="1245"/>
      <c r="I886" s="541"/>
      <c r="J886" s="589"/>
      <c r="K886" s="541"/>
      <c r="L886" s="541"/>
      <c r="M886" s="541"/>
      <c r="N886" s="541"/>
      <c r="O886" s="541"/>
    </row>
    <row r="887" spans="1:16" ht="18">
      <c r="B887" s="596" t="s">
        <v>174</v>
      </c>
      <c r="C887" s="678" t="s">
        <v>290</v>
      </c>
      <c r="D887" s="564"/>
      <c r="E887" s="541"/>
      <c r="F887" s="541"/>
      <c r="G887" s="541"/>
      <c r="H887" s="1245"/>
      <c r="I887" s="1245"/>
      <c r="J887" s="1246"/>
      <c r="K887" s="1245"/>
      <c r="L887" s="1245"/>
      <c r="M887" s="1245"/>
      <c r="N887" s="1245"/>
      <c r="O887" s="541"/>
    </row>
    <row r="888" spans="1:16" ht="18.75">
      <c r="B888" s="596"/>
      <c r="C888" s="595"/>
      <c r="D888" s="564"/>
      <c r="E888" s="541"/>
      <c r="F888" s="541"/>
      <c r="G888" s="541"/>
      <c r="H888" s="1245"/>
      <c r="I888" s="1245"/>
      <c r="J888" s="1246"/>
      <c r="K888" s="1245"/>
      <c r="L888" s="1245"/>
      <c r="M888" s="1245"/>
      <c r="N888" s="1245"/>
      <c r="O888" s="541"/>
    </row>
    <row r="889" spans="1:16" ht="18.75">
      <c r="B889" s="596"/>
      <c r="C889" s="595" t="s">
        <v>291</v>
      </c>
      <c r="D889" s="564"/>
      <c r="E889" s="541"/>
      <c r="F889" s="541"/>
      <c r="G889" s="541"/>
      <c r="H889" s="1245"/>
      <c r="I889" s="1245"/>
      <c r="J889" s="1246"/>
      <c r="K889" s="1245"/>
      <c r="L889" s="1245"/>
      <c r="M889" s="1245"/>
      <c r="N889" s="1245"/>
      <c r="O889" s="541"/>
    </row>
    <row r="890" spans="1:16" ht="15.75" thickBot="1">
      <c r="B890" s="332"/>
      <c r="C890" s="398"/>
      <c r="D890" s="564"/>
      <c r="E890" s="541"/>
      <c r="F890" s="541"/>
      <c r="G890" s="541"/>
      <c r="H890" s="1245"/>
      <c r="I890" s="1245"/>
      <c r="J890" s="1246"/>
      <c r="K890" s="1245"/>
      <c r="L890" s="1245"/>
      <c r="M890" s="1245"/>
      <c r="N890" s="1245"/>
      <c r="O890" s="541"/>
    </row>
    <row r="891" spans="1:16" ht="15.75">
      <c r="B891" s="332"/>
      <c r="C891" s="597" t="s">
        <v>292</v>
      </c>
      <c r="D891" s="564"/>
      <c r="E891" s="541"/>
      <c r="F891" s="541"/>
      <c r="G891" s="1247"/>
      <c r="H891" s="541" t="s">
        <v>271</v>
      </c>
      <c r="I891" s="541"/>
      <c r="J891" s="589"/>
      <c r="K891" s="679" t="s">
        <v>296</v>
      </c>
      <c r="L891" s="680"/>
      <c r="M891" s="681"/>
      <c r="N891" s="1248">
        <f>VLOOKUP(I897,C904:O963,5)</f>
        <v>5707955.2612667698</v>
      </c>
      <c r="O891" s="541"/>
    </row>
    <row r="892" spans="1:16" ht="15.75">
      <c r="B892" s="332"/>
      <c r="C892" s="597"/>
      <c r="D892" s="564"/>
      <c r="E892" s="541"/>
      <c r="F892" s="541"/>
      <c r="G892" s="541"/>
      <c r="H892" s="1249"/>
      <c r="I892" s="1249"/>
      <c r="J892" s="1250"/>
      <c r="K892" s="684" t="s">
        <v>297</v>
      </c>
      <c r="L892" s="1251"/>
      <c r="M892" s="589"/>
      <c r="N892" s="1252">
        <f>VLOOKUP(I897,C904:O963,6)</f>
        <v>5707955.2612667698</v>
      </c>
      <c r="O892" s="541"/>
    </row>
    <row r="893" spans="1:16" ht="13.5" thickBot="1">
      <c r="B893" s="332"/>
      <c r="C893" s="685" t="s">
        <v>293</v>
      </c>
      <c r="D893" s="1544" t="s">
        <v>983</v>
      </c>
      <c r="E893" s="1544"/>
      <c r="F893" s="1544"/>
      <c r="G893" s="1544"/>
      <c r="H893" s="1544"/>
      <c r="I893" s="1245"/>
      <c r="J893" s="1246"/>
      <c r="K893" s="1253" t="s">
        <v>450</v>
      </c>
      <c r="L893" s="1254"/>
      <c r="M893" s="1254"/>
      <c r="N893" s="1255">
        <f>+N892-N891</f>
        <v>0</v>
      </c>
      <c r="O893" s="541"/>
    </row>
    <row r="894" spans="1:16">
      <c r="B894" s="332"/>
      <c r="C894" s="687"/>
      <c r="D894" s="688"/>
      <c r="E894" s="672"/>
      <c r="F894" s="672"/>
      <c r="G894" s="689"/>
      <c r="H894" s="1245"/>
      <c r="I894" s="1245"/>
      <c r="J894" s="1246"/>
      <c r="K894" s="1245"/>
      <c r="L894" s="1245"/>
      <c r="M894" s="1245"/>
      <c r="N894" s="1245"/>
      <c r="O894" s="541"/>
    </row>
    <row r="895" spans="1:16" ht="13.5" thickBot="1">
      <c r="B895" s="332"/>
      <c r="C895" s="690"/>
      <c r="D895" s="691"/>
      <c r="E895" s="689"/>
      <c r="F895" s="689"/>
      <c r="G895" s="689"/>
      <c r="H895" s="689"/>
      <c r="I895" s="689"/>
      <c r="J895" s="692"/>
      <c r="K895" s="689"/>
      <c r="L895" s="689"/>
      <c r="M895" s="689"/>
      <c r="N895" s="689"/>
      <c r="O895" s="577"/>
    </row>
    <row r="896" spans="1:16" ht="13.5" thickBot="1">
      <c r="B896" s="332"/>
      <c r="C896" s="694" t="s">
        <v>294</v>
      </c>
      <c r="D896" s="695"/>
      <c r="E896" s="695"/>
      <c r="F896" s="695"/>
      <c r="G896" s="695"/>
      <c r="H896" s="695"/>
      <c r="I896" s="696"/>
      <c r="J896" s="697"/>
      <c r="K896" s="541"/>
      <c r="L896" s="541"/>
      <c r="M896" s="541"/>
      <c r="N896" s="541"/>
      <c r="O896" s="698"/>
    </row>
    <row r="897" spans="1:15" ht="15">
      <c r="C897" s="700" t="s">
        <v>272</v>
      </c>
      <c r="D897" s="1256">
        <v>48244590</v>
      </c>
      <c r="E897" s="656" t="s">
        <v>273</v>
      </c>
      <c r="G897" s="701"/>
      <c r="H897" s="701"/>
      <c r="I897" s="702">
        <v>2018</v>
      </c>
      <c r="J897" s="587"/>
      <c r="K897" s="1542" t="s">
        <v>459</v>
      </c>
      <c r="L897" s="1542"/>
      <c r="M897" s="1542"/>
      <c r="N897" s="1542"/>
      <c r="O897" s="1542"/>
    </row>
    <row r="898" spans="1:15">
      <c r="C898" s="700" t="s">
        <v>275</v>
      </c>
      <c r="D898" s="872">
        <v>2016</v>
      </c>
      <c r="E898" s="700" t="s">
        <v>276</v>
      </c>
      <c r="F898" s="701"/>
      <c r="H898" s="332"/>
      <c r="I898" s="875">
        <f>IF(G891="",0,$F$15)</f>
        <v>0</v>
      </c>
      <c r="J898" s="703"/>
      <c r="K898" s="1246" t="s">
        <v>459</v>
      </c>
    </row>
    <row r="899" spans="1:15">
      <c r="C899" s="700" t="s">
        <v>277</v>
      </c>
      <c r="D899" s="1257">
        <v>6</v>
      </c>
      <c r="E899" s="700" t="s">
        <v>278</v>
      </c>
      <c r="F899" s="701"/>
      <c r="H899" s="332"/>
      <c r="I899" s="704">
        <f>$G$70</f>
        <v>0.1009634410531228</v>
      </c>
      <c r="J899" s="705"/>
      <c r="K899" s="332" t="str">
        <f>"          INPUT PROJECTED ARR (WITH &amp; WITHOUT INCENTIVES) FROM EACH PRIOR YEAR"</f>
        <v xml:space="preserve">          INPUT PROJECTED ARR (WITH &amp; WITHOUT INCENTIVES) FROM EACH PRIOR YEAR</v>
      </c>
    </row>
    <row r="900" spans="1:15">
      <c r="C900" s="700" t="s">
        <v>279</v>
      </c>
      <c r="D900" s="706">
        <f>G$79</f>
        <v>46</v>
      </c>
      <c r="E900" s="700" t="s">
        <v>280</v>
      </c>
      <c r="F900" s="701"/>
      <c r="H900" s="332"/>
      <c r="I900" s="704">
        <f>IF(G891="",I899,$G$67)</f>
        <v>0.1009634410531228</v>
      </c>
      <c r="J900" s="707"/>
      <c r="K900" s="332" t="s">
        <v>357</v>
      </c>
    </row>
    <row r="901" spans="1:15" ht="13.5" thickBot="1">
      <c r="C901" s="700" t="s">
        <v>281</v>
      </c>
      <c r="D901" s="874" t="s">
        <v>974</v>
      </c>
      <c r="E901" s="708" t="s">
        <v>282</v>
      </c>
      <c r="F901" s="709"/>
      <c r="G901" s="710"/>
      <c r="H901" s="710"/>
      <c r="I901" s="1255">
        <f>IF(D897=0,0,D897/D900)</f>
        <v>1048795.4347826086</v>
      </c>
      <c r="J901" s="1246"/>
      <c r="K901" s="1246" t="s">
        <v>363</v>
      </c>
      <c r="L901" s="1246"/>
      <c r="M901" s="1246"/>
      <c r="N901" s="1246"/>
      <c r="O901" s="589"/>
    </row>
    <row r="902" spans="1:15" ht="51">
      <c r="A902" s="528"/>
      <c r="B902" s="528"/>
      <c r="C902" s="711" t="s">
        <v>272</v>
      </c>
      <c r="D902" s="1258" t="s">
        <v>283</v>
      </c>
      <c r="E902" s="1259" t="s">
        <v>284</v>
      </c>
      <c r="F902" s="1258" t="s">
        <v>285</v>
      </c>
      <c r="G902" s="1259" t="s">
        <v>356</v>
      </c>
      <c r="H902" s="1260" t="s">
        <v>356</v>
      </c>
      <c r="I902" s="711" t="s">
        <v>295</v>
      </c>
      <c r="J902" s="715"/>
      <c r="K902" s="1259" t="s">
        <v>365</v>
      </c>
      <c r="L902" s="1261"/>
      <c r="M902" s="1259" t="s">
        <v>365</v>
      </c>
      <c r="N902" s="1261"/>
      <c r="O902" s="1261"/>
    </row>
    <row r="903" spans="1:15" ht="13.5" thickBot="1">
      <c r="B903" s="332"/>
      <c r="C903" s="717" t="s">
        <v>177</v>
      </c>
      <c r="D903" s="718" t="s">
        <v>178</v>
      </c>
      <c r="E903" s="717" t="s">
        <v>37</v>
      </c>
      <c r="F903" s="718" t="s">
        <v>178</v>
      </c>
      <c r="G903" s="1262" t="s">
        <v>298</v>
      </c>
      <c r="H903" s="1263" t="s">
        <v>300</v>
      </c>
      <c r="I903" s="721" t="s">
        <v>389</v>
      </c>
      <c r="J903" s="722"/>
      <c r="K903" s="1262" t="s">
        <v>287</v>
      </c>
      <c r="L903" s="1264"/>
      <c r="M903" s="1262" t="s">
        <v>300</v>
      </c>
      <c r="N903" s="1264"/>
      <c r="O903" s="1264"/>
    </row>
    <row r="904" spans="1:15">
      <c r="B904" s="332"/>
      <c r="C904" s="723">
        <f>IF(D898= "","-",D898)</f>
        <v>2016</v>
      </c>
      <c r="D904" s="674">
        <f>+D897</f>
        <v>48244590</v>
      </c>
      <c r="E904" s="1265">
        <f>+I901/12*(12-D899)</f>
        <v>524397.71739130432</v>
      </c>
      <c r="F904" s="674">
        <f t="shared" ref="F904:F963" si="54">+D904-E904</f>
        <v>47720192.282608695</v>
      </c>
      <c r="G904" s="1266">
        <f>+$I$899*((D904+F904)/2)+E904</f>
        <v>5368865.0369742671</v>
      </c>
      <c r="H904" s="1267">
        <f>+$I$900*((D904+F904)/2)+E904</f>
        <v>5368865.0369742671</v>
      </c>
      <c r="I904" s="727">
        <f t="shared" ref="I904:I963" si="55">+H904-G904</f>
        <v>0</v>
      </c>
      <c r="J904" s="727"/>
      <c r="K904" s="876">
        <v>5862811</v>
      </c>
      <c r="L904" s="729"/>
      <c r="M904" s="876">
        <v>5862811</v>
      </c>
      <c r="N904" s="729"/>
      <c r="O904" s="729"/>
    </row>
    <row r="905" spans="1:15">
      <c r="B905" s="332"/>
      <c r="C905" s="723">
        <f>IF(D898="","-",+C904+1)</f>
        <v>2017</v>
      </c>
      <c r="D905" s="674">
        <f t="shared" ref="D905:D963" si="56">F904</f>
        <v>47720192.282608695</v>
      </c>
      <c r="E905" s="730">
        <f>IF(D905&gt;$I$901,$I$901,D905)</f>
        <v>1048795.4347826086</v>
      </c>
      <c r="F905" s="674">
        <f t="shared" si="54"/>
        <v>46671396.847826086</v>
      </c>
      <c r="G905" s="1265">
        <f t="shared" ref="G905:G963" si="57">+$I$899*((D905+F905)/2)+E905</f>
        <v>5813845.2573232278</v>
      </c>
      <c r="H905" s="1268">
        <f t="shared" ref="H905:H963" si="58">+$I$900*((D905+F905)/2)+E905</f>
        <v>5813845.2573232278</v>
      </c>
      <c r="I905" s="727">
        <f t="shared" si="55"/>
        <v>0</v>
      </c>
      <c r="J905" s="727"/>
      <c r="K905" s="877">
        <v>3438786</v>
      </c>
      <c r="L905" s="733"/>
      <c r="M905" s="877">
        <v>3438786</v>
      </c>
      <c r="N905" s="733"/>
      <c r="O905" s="733"/>
    </row>
    <row r="906" spans="1:15">
      <c r="B906" s="332"/>
      <c r="C906" s="1269">
        <f>IF(D898="","-",+C905+1)</f>
        <v>2018</v>
      </c>
      <c r="D906" s="1270">
        <f t="shared" si="56"/>
        <v>46671396.847826086</v>
      </c>
      <c r="E906" s="1271">
        <f t="shared" ref="E906:E963" si="59">IF(D906&gt;$I$901,$I$901,D906)</f>
        <v>1048795.4347826086</v>
      </c>
      <c r="F906" s="1270">
        <f t="shared" si="54"/>
        <v>45622601.413043477</v>
      </c>
      <c r="G906" s="1272">
        <f t="shared" si="57"/>
        <v>5707955.2612667698</v>
      </c>
      <c r="H906" s="1273">
        <f t="shared" si="58"/>
        <v>5707955.2612667698</v>
      </c>
      <c r="I906" s="1279">
        <f t="shared" si="55"/>
        <v>0</v>
      </c>
      <c r="J906" s="1292"/>
      <c r="K906" s="1290"/>
      <c r="L906" s="1278"/>
      <c r="M906" s="1290"/>
      <c r="N906" s="733"/>
      <c r="O906" s="733"/>
    </row>
    <row r="907" spans="1:15">
      <c r="B907" s="332"/>
      <c r="C907" s="723">
        <f>IF(D898="","-",+C906+1)</f>
        <v>2019</v>
      </c>
      <c r="D907" s="674">
        <f t="shared" si="56"/>
        <v>45622601.413043477</v>
      </c>
      <c r="E907" s="730">
        <f t="shared" si="59"/>
        <v>1048795.4347826086</v>
      </c>
      <c r="F907" s="674">
        <f t="shared" si="54"/>
        <v>44573805.978260867</v>
      </c>
      <c r="G907" s="1265">
        <f t="shared" si="57"/>
        <v>5602065.2652103109</v>
      </c>
      <c r="H907" s="1268">
        <f t="shared" si="58"/>
        <v>5602065.2652103109</v>
      </c>
      <c r="I907" s="727">
        <f t="shared" si="55"/>
        <v>0</v>
      </c>
      <c r="J907" s="727"/>
      <c r="K907" s="877"/>
      <c r="L907" s="733"/>
      <c r="M907" s="877"/>
      <c r="N907" s="733"/>
      <c r="O907" s="733"/>
    </row>
    <row r="908" spans="1:15">
      <c r="B908" s="332"/>
      <c r="C908" s="723">
        <f>IF(D898="","-",+C907+1)</f>
        <v>2020</v>
      </c>
      <c r="D908" s="674">
        <f t="shared" si="56"/>
        <v>44573805.978260867</v>
      </c>
      <c r="E908" s="730">
        <f t="shared" si="59"/>
        <v>1048795.4347826086</v>
      </c>
      <c r="F908" s="674">
        <f t="shared" si="54"/>
        <v>43525010.543478258</v>
      </c>
      <c r="G908" s="1265">
        <f t="shared" si="57"/>
        <v>5496175.2691538529</v>
      </c>
      <c r="H908" s="1268">
        <f t="shared" si="58"/>
        <v>5496175.2691538529</v>
      </c>
      <c r="I908" s="727">
        <f t="shared" si="55"/>
        <v>0</v>
      </c>
      <c r="J908" s="727"/>
      <c r="K908" s="877"/>
      <c r="L908" s="733"/>
      <c r="M908" s="877"/>
      <c r="N908" s="733"/>
      <c r="O908" s="733"/>
    </row>
    <row r="909" spans="1:15">
      <c r="B909" s="332"/>
      <c r="C909" s="723">
        <f>IF(D898="","-",+C908+1)</f>
        <v>2021</v>
      </c>
      <c r="D909" s="674">
        <f t="shared" si="56"/>
        <v>43525010.543478258</v>
      </c>
      <c r="E909" s="730">
        <f t="shared" si="59"/>
        <v>1048795.4347826086</v>
      </c>
      <c r="F909" s="674">
        <f t="shared" si="54"/>
        <v>42476215.108695649</v>
      </c>
      <c r="G909" s="1265">
        <f t="shared" si="57"/>
        <v>5390285.273097395</v>
      </c>
      <c r="H909" s="1268">
        <f t="shared" si="58"/>
        <v>5390285.273097395</v>
      </c>
      <c r="I909" s="727">
        <f t="shared" si="55"/>
        <v>0</v>
      </c>
      <c r="J909" s="727"/>
      <c r="K909" s="877"/>
      <c r="L909" s="733"/>
      <c r="M909" s="877"/>
      <c r="N909" s="733"/>
      <c r="O909" s="733"/>
    </row>
    <row r="910" spans="1:15">
      <c r="B910" s="332"/>
      <c r="C910" s="723">
        <f>IF(D898="","-",+C909+1)</f>
        <v>2022</v>
      </c>
      <c r="D910" s="674">
        <f t="shared" si="56"/>
        <v>42476215.108695649</v>
      </c>
      <c r="E910" s="730">
        <f t="shared" si="59"/>
        <v>1048795.4347826086</v>
      </c>
      <c r="F910" s="674">
        <f t="shared" si="54"/>
        <v>41427419.673913039</v>
      </c>
      <c r="G910" s="1265">
        <f t="shared" si="57"/>
        <v>5284395.2770409361</v>
      </c>
      <c r="H910" s="1268">
        <f t="shared" si="58"/>
        <v>5284395.2770409361</v>
      </c>
      <c r="I910" s="727">
        <f t="shared" si="55"/>
        <v>0</v>
      </c>
      <c r="J910" s="727"/>
      <c r="K910" s="877"/>
      <c r="L910" s="733"/>
      <c r="M910" s="877"/>
      <c r="N910" s="733"/>
      <c r="O910" s="733"/>
    </row>
    <row r="911" spans="1:15">
      <c r="B911" s="332"/>
      <c r="C911" s="723">
        <f>IF(D898="","-",+C910+1)</f>
        <v>2023</v>
      </c>
      <c r="D911" s="674">
        <f t="shared" si="56"/>
        <v>41427419.673913039</v>
      </c>
      <c r="E911" s="730">
        <f t="shared" si="59"/>
        <v>1048795.4347826086</v>
      </c>
      <c r="F911" s="674">
        <f t="shared" si="54"/>
        <v>40378624.23913043</v>
      </c>
      <c r="G911" s="1265">
        <f t="shared" si="57"/>
        <v>5178505.2809844781</v>
      </c>
      <c r="H911" s="1268">
        <f t="shared" si="58"/>
        <v>5178505.2809844781</v>
      </c>
      <c r="I911" s="727">
        <f t="shared" si="55"/>
        <v>0</v>
      </c>
      <c r="J911" s="727"/>
      <c r="K911" s="877"/>
      <c r="L911" s="733"/>
      <c r="M911" s="877"/>
      <c r="N911" s="733"/>
      <c r="O911" s="733"/>
    </row>
    <row r="912" spans="1:15">
      <c r="B912" s="332"/>
      <c r="C912" s="723">
        <f>IF(D898="","-",+C911+1)</f>
        <v>2024</v>
      </c>
      <c r="D912" s="674">
        <f t="shared" si="56"/>
        <v>40378624.23913043</v>
      </c>
      <c r="E912" s="730">
        <f t="shared" si="59"/>
        <v>1048795.4347826086</v>
      </c>
      <c r="F912" s="674">
        <f t="shared" si="54"/>
        <v>39329828.804347821</v>
      </c>
      <c r="G912" s="1265">
        <f t="shared" si="57"/>
        <v>5072615.2849280201</v>
      </c>
      <c r="H912" s="1268">
        <f t="shared" si="58"/>
        <v>5072615.2849280201</v>
      </c>
      <c r="I912" s="727">
        <f t="shared" si="55"/>
        <v>0</v>
      </c>
      <c r="J912" s="727"/>
      <c r="K912" s="877"/>
      <c r="L912" s="733"/>
      <c r="M912" s="877"/>
      <c r="N912" s="733"/>
      <c r="O912" s="733"/>
    </row>
    <row r="913" spans="2:15">
      <c r="B913" s="332"/>
      <c r="C913" s="723">
        <f>IF(D898="","-",+C912+1)</f>
        <v>2025</v>
      </c>
      <c r="D913" s="674">
        <f t="shared" si="56"/>
        <v>39329828.804347821</v>
      </c>
      <c r="E913" s="730">
        <f t="shared" si="59"/>
        <v>1048795.4347826086</v>
      </c>
      <c r="F913" s="674">
        <f t="shared" si="54"/>
        <v>38281033.369565211</v>
      </c>
      <c r="G913" s="1265">
        <f t="shared" si="57"/>
        <v>4966725.2888715621</v>
      </c>
      <c r="H913" s="1268">
        <f t="shared" si="58"/>
        <v>4966725.2888715621</v>
      </c>
      <c r="I913" s="727">
        <f t="shared" si="55"/>
        <v>0</v>
      </c>
      <c r="J913" s="727"/>
      <c r="K913" s="877"/>
      <c r="L913" s="733"/>
      <c r="M913" s="877"/>
      <c r="N913" s="733"/>
      <c r="O913" s="733"/>
    </row>
    <row r="914" spans="2:15">
      <c r="B914" s="332"/>
      <c r="C914" s="723">
        <f>IF(D898="","-",+C913+1)</f>
        <v>2026</v>
      </c>
      <c r="D914" s="674">
        <f t="shared" si="56"/>
        <v>38281033.369565211</v>
      </c>
      <c r="E914" s="730">
        <f t="shared" si="59"/>
        <v>1048795.4347826086</v>
      </c>
      <c r="F914" s="674">
        <f t="shared" si="54"/>
        <v>37232237.934782602</v>
      </c>
      <c r="G914" s="1265">
        <f t="shared" si="57"/>
        <v>4860835.2928151032</v>
      </c>
      <c r="H914" s="1268">
        <f t="shared" si="58"/>
        <v>4860835.2928151032</v>
      </c>
      <c r="I914" s="727">
        <f t="shared" si="55"/>
        <v>0</v>
      </c>
      <c r="J914" s="727"/>
      <c r="K914" s="877"/>
      <c r="L914" s="733"/>
      <c r="M914" s="877"/>
      <c r="N914" s="733"/>
      <c r="O914" s="733"/>
    </row>
    <row r="915" spans="2:15">
      <c r="B915" s="332"/>
      <c r="C915" s="723">
        <f>IF(D898="","-",+C914+1)</f>
        <v>2027</v>
      </c>
      <c r="D915" s="674">
        <f t="shared" si="56"/>
        <v>37232237.934782602</v>
      </c>
      <c r="E915" s="730">
        <f t="shared" si="59"/>
        <v>1048795.4347826086</v>
      </c>
      <c r="F915" s="674">
        <f t="shared" si="54"/>
        <v>36183442.499999993</v>
      </c>
      <c r="G915" s="1265">
        <f t="shared" si="57"/>
        <v>4754945.2967586452</v>
      </c>
      <c r="H915" s="1268">
        <f t="shared" si="58"/>
        <v>4754945.2967586452</v>
      </c>
      <c r="I915" s="727">
        <f t="shared" si="55"/>
        <v>0</v>
      </c>
      <c r="J915" s="727"/>
      <c r="K915" s="877"/>
      <c r="L915" s="733"/>
      <c r="M915" s="877"/>
      <c r="N915" s="733"/>
      <c r="O915" s="733"/>
    </row>
    <row r="916" spans="2:15">
      <c r="B916" s="332"/>
      <c r="C916" s="723">
        <f>IF(D898="","-",+C915+1)</f>
        <v>2028</v>
      </c>
      <c r="D916" s="674">
        <f t="shared" si="56"/>
        <v>36183442.499999993</v>
      </c>
      <c r="E916" s="730">
        <f t="shared" si="59"/>
        <v>1048795.4347826086</v>
      </c>
      <c r="F916" s="674">
        <f t="shared" si="54"/>
        <v>35134647.065217383</v>
      </c>
      <c r="G916" s="1265">
        <f t="shared" si="57"/>
        <v>4649055.3007021872</v>
      </c>
      <c r="H916" s="1268">
        <f t="shared" si="58"/>
        <v>4649055.3007021872</v>
      </c>
      <c r="I916" s="727">
        <f t="shared" si="55"/>
        <v>0</v>
      </c>
      <c r="J916" s="727"/>
      <c r="K916" s="877"/>
      <c r="L916" s="733"/>
      <c r="M916" s="877"/>
      <c r="N916" s="734"/>
      <c r="O916" s="733"/>
    </row>
    <row r="917" spans="2:15">
      <c r="B917" s="332"/>
      <c r="C917" s="723">
        <f>IF(D898="","-",+C916+1)</f>
        <v>2029</v>
      </c>
      <c r="D917" s="674">
        <f t="shared" si="56"/>
        <v>35134647.065217383</v>
      </c>
      <c r="E917" s="730">
        <f t="shared" si="59"/>
        <v>1048795.4347826086</v>
      </c>
      <c r="F917" s="674">
        <f t="shared" si="54"/>
        <v>34085851.630434774</v>
      </c>
      <c r="G917" s="1265">
        <f t="shared" si="57"/>
        <v>4543165.3046457283</v>
      </c>
      <c r="H917" s="1268">
        <f t="shared" si="58"/>
        <v>4543165.3046457283</v>
      </c>
      <c r="I917" s="727">
        <f t="shared" si="55"/>
        <v>0</v>
      </c>
      <c r="J917" s="727"/>
      <c r="K917" s="877"/>
      <c r="L917" s="733"/>
      <c r="M917" s="877"/>
      <c r="N917" s="733"/>
      <c r="O917" s="733"/>
    </row>
    <row r="918" spans="2:15">
      <c r="B918" s="332"/>
      <c r="C918" s="723">
        <f>IF(D898="","-",+C917+1)</f>
        <v>2030</v>
      </c>
      <c r="D918" s="674">
        <f t="shared" si="56"/>
        <v>34085851.630434774</v>
      </c>
      <c r="E918" s="730">
        <f t="shared" si="59"/>
        <v>1048795.4347826086</v>
      </c>
      <c r="F918" s="674">
        <f t="shared" si="54"/>
        <v>33037056.195652165</v>
      </c>
      <c r="G918" s="1265">
        <f t="shared" si="57"/>
        <v>4437275.3085892703</v>
      </c>
      <c r="H918" s="1268">
        <f t="shared" si="58"/>
        <v>4437275.3085892703</v>
      </c>
      <c r="I918" s="727">
        <f t="shared" si="55"/>
        <v>0</v>
      </c>
      <c r="J918" s="727"/>
      <c r="K918" s="877"/>
      <c r="L918" s="733"/>
      <c r="M918" s="877"/>
      <c r="N918" s="733"/>
      <c r="O918" s="733"/>
    </row>
    <row r="919" spans="2:15">
      <c r="B919" s="332"/>
      <c r="C919" s="723">
        <f>IF(D898="","-",+C918+1)</f>
        <v>2031</v>
      </c>
      <c r="D919" s="674">
        <f t="shared" si="56"/>
        <v>33037056.195652165</v>
      </c>
      <c r="E919" s="730">
        <f t="shared" si="59"/>
        <v>1048795.4347826086</v>
      </c>
      <c r="F919" s="674">
        <f t="shared" si="54"/>
        <v>31988260.760869555</v>
      </c>
      <c r="G919" s="1265">
        <f t="shared" si="57"/>
        <v>4331385.3125328124</v>
      </c>
      <c r="H919" s="1268">
        <f t="shared" si="58"/>
        <v>4331385.3125328124</v>
      </c>
      <c r="I919" s="727">
        <f t="shared" si="55"/>
        <v>0</v>
      </c>
      <c r="J919" s="727"/>
      <c r="K919" s="877"/>
      <c r="L919" s="733"/>
      <c r="M919" s="877"/>
      <c r="N919" s="733"/>
      <c r="O919" s="733"/>
    </row>
    <row r="920" spans="2:15">
      <c r="B920" s="332"/>
      <c r="C920" s="723">
        <f>IF(D898="","-",+C919+1)</f>
        <v>2032</v>
      </c>
      <c r="D920" s="674">
        <f t="shared" si="56"/>
        <v>31988260.760869555</v>
      </c>
      <c r="E920" s="730">
        <f t="shared" si="59"/>
        <v>1048795.4347826086</v>
      </c>
      <c r="F920" s="674">
        <f t="shared" si="54"/>
        <v>30939465.326086946</v>
      </c>
      <c r="G920" s="1265">
        <f t="shared" si="57"/>
        <v>4225495.3164763534</v>
      </c>
      <c r="H920" s="1268">
        <f t="shared" si="58"/>
        <v>4225495.3164763534</v>
      </c>
      <c r="I920" s="727">
        <f t="shared" si="55"/>
        <v>0</v>
      </c>
      <c r="J920" s="727"/>
      <c r="K920" s="877"/>
      <c r="L920" s="733"/>
      <c r="M920" s="877"/>
      <c r="N920" s="733"/>
      <c r="O920" s="733"/>
    </row>
    <row r="921" spans="2:15">
      <c r="B921" s="332"/>
      <c r="C921" s="723">
        <f>IF(D898="","-",+C920+1)</f>
        <v>2033</v>
      </c>
      <c r="D921" s="674">
        <f t="shared" si="56"/>
        <v>30939465.326086946</v>
      </c>
      <c r="E921" s="730">
        <f t="shared" si="59"/>
        <v>1048795.4347826086</v>
      </c>
      <c r="F921" s="674">
        <f t="shared" si="54"/>
        <v>29890669.891304336</v>
      </c>
      <c r="G921" s="1265">
        <f t="shared" si="57"/>
        <v>4119605.3204198955</v>
      </c>
      <c r="H921" s="1268">
        <f t="shared" si="58"/>
        <v>4119605.3204198955</v>
      </c>
      <c r="I921" s="727">
        <f t="shared" si="55"/>
        <v>0</v>
      </c>
      <c r="J921" s="727"/>
      <c r="K921" s="877"/>
      <c r="L921" s="733"/>
      <c r="M921" s="877"/>
      <c r="N921" s="733"/>
      <c r="O921" s="733"/>
    </row>
    <row r="922" spans="2:15">
      <c r="B922" s="332"/>
      <c r="C922" s="723">
        <f>IF(D898="","-",+C921+1)</f>
        <v>2034</v>
      </c>
      <c r="D922" s="674">
        <f t="shared" si="56"/>
        <v>29890669.891304336</v>
      </c>
      <c r="E922" s="730">
        <f t="shared" si="59"/>
        <v>1048795.4347826086</v>
      </c>
      <c r="F922" s="674">
        <f t="shared" si="54"/>
        <v>28841874.456521727</v>
      </c>
      <c r="G922" s="1265">
        <f t="shared" si="57"/>
        <v>4013715.3243634375</v>
      </c>
      <c r="H922" s="1268">
        <f t="shared" si="58"/>
        <v>4013715.3243634375</v>
      </c>
      <c r="I922" s="727">
        <f t="shared" si="55"/>
        <v>0</v>
      </c>
      <c r="J922" s="727"/>
      <c r="K922" s="877"/>
      <c r="L922" s="733"/>
      <c r="M922" s="877"/>
      <c r="N922" s="733"/>
      <c r="O922" s="733"/>
    </row>
    <row r="923" spans="2:15">
      <c r="B923" s="332"/>
      <c r="C923" s="723">
        <f>IF(D898="","-",+C922+1)</f>
        <v>2035</v>
      </c>
      <c r="D923" s="674">
        <f t="shared" si="56"/>
        <v>28841874.456521727</v>
      </c>
      <c r="E923" s="730">
        <f t="shared" si="59"/>
        <v>1048795.4347826086</v>
      </c>
      <c r="F923" s="674">
        <f t="shared" si="54"/>
        <v>27793079.021739118</v>
      </c>
      <c r="G923" s="1265">
        <f t="shared" si="57"/>
        <v>3907825.3283069795</v>
      </c>
      <c r="H923" s="1268">
        <f t="shared" si="58"/>
        <v>3907825.3283069795</v>
      </c>
      <c r="I923" s="727">
        <f t="shared" si="55"/>
        <v>0</v>
      </c>
      <c r="J923" s="727"/>
      <c r="K923" s="877"/>
      <c r="L923" s="733"/>
      <c r="M923" s="877"/>
      <c r="N923" s="733"/>
      <c r="O923" s="733"/>
    </row>
    <row r="924" spans="2:15">
      <c r="B924" s="332"/>
      <c r="C924" s="723">
        <f>IF(D898="","-",+C923+1)</f>
        <v>2036</v>
      </c>
      <c r="D924" s="674">
        <f t="shared" si="56"/>
        <v>27793079.021739118</v>
      </c>
      <c r="E924" s="730">
        <f t="shared" si="59"/>
        <v>1048795.4347826086</v>
      </c>
      <c r="F924" s="674">
        <f t="shared" si="54"/>
        <v>26744283.586956508</v>
      </c>
      <c r="G924" s="1265">
        <f t="shared" si="57"/>
        <v>3801935.3322505206</v>
      </c>
      <c r="H924" s="1268">
        <f t="shared" si="58"/>
        <v>3801935.3322505206</v>
      </c>
      <c r="I924" s="727">
        <f t="shared" si="55"/>
        <v>0</v>
      </c>
      <c r="J924" s="727"/>
      <c r="K924" s="877"/>
      <c r="L924" s="733"/>
      <c r="M924" s="877"/>
      <c r="N924" s="733"/>
      <c r="O924" s="733"/>
    </row>
    <row r="925" spans="2:15">
      <c r="B925" s="332"/>
      <c r="C925" s="723">
        <f>IF(D898="","-",+C924+1)</f>
        <v>2037</v>
      </c>
      <c r="D925" s="674">
        <f t="shared" si="56"/>
        <v>26744283.586956508</v>
      </c>
      <c r="E925" s="730">
        <f t="shared" si="59"/>
        <v>1048795.4347826086</v>
      </c>
      <c r="F925" s="674">
        <f t="shared" si="54"/>
        <v>25695488.152173899</v>
      </c>
      <c r="G925" s="1265">
        <f t="shared" si="57"/>
        <v>3696045.3361940626</v>
      </c>
      <c r="H925" s="1268">
        <f t="shared" si="58"/>
        <v>3696045.3361940626</v>
      </c>
      <c r="I925" s="727">
        <f t="shared" si="55"/>
        <v>0</v>
      </c>
      <c r="J925" s="727"/>
      <c r="K925" s="877"/>
      <c r="L925" s="733"/>
      <c r="M925" s="877"/>
      <c r="N925" s="733"/>
      <c r="O925" s="733"/>
    </row>
    <row r="926" spans="2:15">
      <c r="B926" s="332"/>
      <c r="C926" s="723">
        <f>IF(D898="","-",+C925+1)</f>
        <v>2038</v>
      </c>
      <c r="D926" s="674">
        <f t="shared" si="56"/>
        <v>25695488.152173899</v>
      </c>
      <c r="E926" s="730">
        <f t="shared" si="59"/>
        <v>1048795.4347826086</v>
      </c>
      <c r="F926" s="674">
        <f t="shared" si="54"/>
        <v>24646692.71739129</v>
      </c>
      <c r="G926" s="1265">
        <f t="shared" si="57"/>
        <v>3590155.3401376046</v>
      </c>
      <c r="H926" s="1268">
        <f t="shared" si="58"/>
        <v>3590155.3401376046</v>
      </c>
      <c r="I926" s="727">
        <f t="shared" si="55"/>
        <v>0</v>
      </c>
      <c r="J926" s="727"/>
      <c r="K926" s="877"/>
      <c r="L926" s="733"/>
      <c r="M926" s="877"/>
      <c r="N926" s="733"/>
      <c r="O926" s="733"/>
    </row>
    <row r="927" spans="2:15">
      <c r="B927" s="332"/>
      <c r="C927" s="723">
        <f>IF(D898="","-",+C926+1)</f>
        <v>2039</v>
      </c>
      <c r="D927" s="674">
        <f t="shared" si="56"/>
        <v>24646692.71739129</v>
      </c>
      <c r="E927" s="730">
        <f t="shared" si="59"/>
        <v>1048795.4347826086</v>
      </c>
      <c r="F927" s="674">
        <f t="shared" si="54"/>
        <v>23597897.28260868</v>
      </c>
      <c r="G927" s="1265">
        <f t="shared" si="57"/>
        <v>3484265.3440811457</v>
      </c>
      <c r="H927" s="1268">
        <f t="shared" si="58"/>
        <v>3484265.3440811457</v>
      </c>
      <c r="I927" s="727">
        <f t="shared" si="55"/>
        <v>0</v>
      </c>
      <c r="J927" s="727"/>
      <c r="K927" s="877"/>
      <c r="L927" s="733"/>
      <c r="M927" s="877"/>
      <c r="N927" s="733"/>
      <c r="O927" s="733"/>
    </row>
    <row r="928" spans="2:15">
      <c r="B928" s="332"/>
      <c r="C928" s="723">
        <f>IF(D898="","-",+C927+1)</f>
        <v>2040</v>
      </c>
      <c r="D928" s="674">
        <f t="shared" si="56"/>
        <v>23597897.28260868</v>
      </c>
      <c r="E928" s="730">
        <f t="shared" si="59"/>
        <v>1048795.4347826086</v>
      </c>
      <c r="F928" s="674">
        <f t="shared" si="54"/>
        <v>22549101.847826071</v>
      </c>
      <c r="G928" s="1265">
        <f t="shared" si="57"/>
        <v>3378375.3480246877</v>
      </c>
      <c r="H928" s="1268">
        <f t="shared" si="58"/>
        <v>3378375.3480246877</v>
      </c>
      <c r="I928" s="727">
        <f t="shared" si="55"/>
        <v>0</v>
      </c>
      <c r="J928" s="727"/>
      <c r="K928" s="877"/>
      <c r="L928" s="733"/>
      <c r="M928" s="877"/>
      <c r="N928" s="733"/>
      <c r="O928" s="733"/>
    </row>
    <row r="929" spans="2:15">
      <c r="B929" s="332"/>
      <c r="C929" s="723">
        <f>IF(D898="","-",+C928+1)</f>
        <v>2041</v>
      </c>
      <c r="D929" s="674">
        <f t="shared" si="56"/>
        <v>22549101.847826071</v>
      </c>
      <c r="E929" s="730">
        <f t="shared" si="59"/>
        <v>1048795.4347826086</v>
      </c>
      <c r="F929" s="674">
        <f t="shared" si="54"/>
        <v>21500306.413043462</v>
      </c>
      <c r="G929" s="1265">
        <f t="shared" si="57"/>
        <v>3272485.3519682297</v>
      </c>
      <c r="H929" s="1268">
        <f t="shared" si="58"/>
        <v>3272485.3519682297</v>
      </c>
      <c r="I929" s="727">
        <f t="shared" si="55"/>
        <v>0</v>
      </c>
      <c r="J929" s="727"/>
      <c r="K929" s="877"/>
      <c r="L929" s="733"/>
      <c r="M929" s="877"/>
      <c r="N929" s="733"/>
      <c r="O929" s="733"/>
    </row>
    <row r="930" spans="2:15">
      <c r="B930" s="332"/>
      <c r="C930" s="723">
        <f>IF(D898="","-",+C929+1)</f>
        <v>2042</v>
      </c>
      <c r="D930" s="674">
        <f t="shared" si="56"/>
        <v>21500306.413043462</v>
      </c>
      <c r="E930" s="730">
        <f t="shared" si="59"/>
        <v>1048795.4347826086</v>
      </c>
      <c r="F930" s="674">
        <f t="shared" si="54"/>
        <v>20451510.978260852</v>
      </c>
      <c r="G930" s="1265">
        <f t="shared" si="57"/>
        <v>3166595.3559117708</v>
      </c>
      <c r="H930" s="1268">
        <f t="shared" si="58"/>
        <v>3166595.3559117708</v>
      </c>
      <c r="I930" s="727">
        <f t="shared" si="55"/>
        <v>0</v>
      </c>
      <c r="J930" s="727"/>
      <c r="K930" s="877"/>
      <c r="L930" s="733"/>
      <c r="M930" s="877"/>
      <c r="N930" s="733"/>
      <c r="O930" s="733"/>
    </row>
    <row r="931" spans="2:15">
      <c r="B931" s="332"/>
      <c r="C931" s="723">
        <f>IF(D898="","-",+C930+1)</f>
        <v>2043</v>
      </c>
      <c r="D931" s="674">
        <f t="shared" si="56"/>
        <v>20451510.978260852</v>
      </c>
      <c r="E931" s="730">
        <f t="shared" si="59"/>
        <v>1048795.4347826086</v>
      </c>
      <c r="F931" s="674">
        <f t="shared" si="54"/>
        <v>19402715.543478243</v>
      </c>
      <c r="G931" s="1265">
        <f t="shared" si="57"/>
        <v>3060705.3598553129</v>
      </c>
      <c r="H931" s="1268">
        <f t="shared" si="58"/>
        <v>3060705.3598553129</v>
      </c>
      <c r="I931" s="727">
        <f t="shared" si="55"/>
        <v>0</v>
      </c>
      <c r="J931" s="727"/>
      <c r="K931" s="877"/>
      <c r="L931" s="733"/>
      <c r="M931" s="877"/>
      <c r="N931" s="733"/>
      <c r="O931" s="733"/>
    </row>
    <row r="932" spans="2:15">
      <c r="B932" s="332"/>
      <c r="C932" s="723">
        <f>IF(D898="","-",+C931+1)</f>
        <v>2044</v>
      </c>
      <c r="D932" s="674">
        <f t="shared" si="56"/>
        <v>19402715.543478243</v>
      </c>
      <c r="E932" s="730">
        <f t="shared" si="59"/>
        <v>1048795.4347826086</v>
      </c>
      <c r="F932" s="674">
        <f t="shared" si="54"/>
        <v>18353920.108695634</v>
      </c>
      <c r="G932" s="1274">
        <f t="shared" si="57"/>
        <v>2954815.3637988549</v>
      </c>
      <c r="H932" s="1268">
        <f t="shared" si="58"/>
        <v>2954815.3637988549</v>
      </c>
      <c r="I932" s="727">
        <f t="shared" si="55"/>
        <v>0</v>
      </c>
      <c r="J932" s="727"/>
      <c r="K932" s="877"/>
      <c r="L932" s="733"/>
      <c r="M932" s="877"/>
      <c r="N932" s="733"/>
      <c r="O932" s="733"/>
    </row>
    <row r="933" spans="2:15">
      <c r="B933" s="332"/>
      <c r="C933" s="723">
        <f>IF(D898="","-",+C932+1)</f>
        <v>2045</v>
      </c>
      <c r="D933" s="674">
        <f t="shared" si="56"/>
        <v>18353920.108695634</v>
      </c>
      <c r="E933" s="730">
        <f t="shared" si="59"/>
        <v>1048795.4347826086</v>
      </c>
      <c r="F933" s="674">
        <f t="shared" si="54"/>
        <v>17305124.673913024</v>
      </c>
      <c r="G933" s="1265">
        <f t="shared" si="57"/>
        <v>2848925.3677423964</v>
      </c>
      <c r="H933" s="1268">
        <f t="shared" si="58"/>
        <v>2848925.3677423964</v>
      </c>
      <c r="I933" s="727">
        <f t="shared" si="55"/>
        <v>0</v>
      </c>
      <c r="J933" s="727"/>
      <c r="K933" s="877"/>
      <c r="L933" s="733"/>
      <c r="M933" s="877"/>
      <c r="N933" s="733"/>
      <c r="O933" s="733"/>
    </row>
    <row r="934" spans="2:15">
      <c r="B934" s="332"/>
      <c r="C934" s="723">
        <f>IF(D898="","-",+C933+1)</f>
        <v>2046</v>
      </c>
      <c r="D934" s="674">
        <f t="shared" si="56"/>
        <v>17305124.673913024</v>
      </c>
      <c r="E934" s="730">
        <f t="shared" si="59"/>
        <v>1048795.4347826086</v>
      </c>
      <c r="F934" s="674">
        <f t="shared" si="54"/>
        <v>16256329.239130415</v>
      </c>
      <c r="G934" s="1265">
        <f t="shared" si="57"/>
        <v>2743035.371685938</v>
      </c>
      <c r="H934" s="1268">
        <f t="shared" si="58"/>
        <v>2743035.371685938</v>
      </c>
      <c r="I934" s="727">
        <f t="shared" si="55"/>
        <v>0</v>
      </c>
      <c r="J934" s="727"/>
      <c r="K934" s="877"/>
      <c r="L934" s="733"/>
      <c r="M934" s="877"/>
      <c r="N934" s="733"/>
      <c r="O934" s="733"/>
    </row>
    <row r="935" spans="2:15">
      <c r="B935" s="332"/>
      <c r="C935" s="723">
        <f>IF(D898="","-",+C934+1)</f>
        <v>2047</v>
      </c>
      <c r="D935" s="674">
        <f t="shared" si="56"/>
        <v>16256329.239130415</v>
      </c>
      <c r="E935" s="730">
        <f t="shared" si="59"/>
        <v>1048795.4347826086</v>
      </c>
      <c r="F935" s="674">
        <f t="shared" si="54"/>
        <v>15207533.804347806</v>
      </c>
      <c r="G935" s="1265">
        <f t="shared" si="57"/>
        <v>2637145.37562948</v>
      </c>
      <c r="H935" s="1268">
        <f t="shared" si="58"/>
        <v>2637145.37562948</v>
      </c>
      <c r="I935" s="727">
        <f t="shared" si="55"/>
        <v>0</v>
      </c>
      <c r="J935" s="727"/>
      <c r="K935" s="877"/>
      <c r="L935" s="733"/>
      <c r="M935" s="877"/>
      <c r="N935" s="733"/>
      <c r="O935" s="733"/>
    </row>
    <row r="936" spans="2:15">
      <c r="B936" s="332"/>
      <c r="C936" s="723">
        <f>IF(D898="","-",+C935+1)</f>
        <v>2048</v>
      </c>
      <c r="D936" s="674">
        <f t="shared" si="56"/>
        <v>15207533.804347806</v>
      </c>
      <c r="E936" s="730">
        <f t="shared" si="59"/>
        <v>1048795.4347826086</v>
      </c>
      <c r="F936" s="674">
        <f t="shared" si="54"/>
        <v>14158738.369565196</v>
      </c>
      <c r="G936" s="1265">
        <f t="shared" si="57"/>
        <v>2531255.3795730215</v>
      </c>
      <c r="H936" s="1268">
        <f t="shared" si="58"/>
        <v>2531255.3795730215</v>
      </c>
      <c r="I936" s="727">
        <f t="shared" si="55"/>
        <v>0</v>
      </c>
      <c r="J936" s="727"/>
      <c r="K936" s="877"/>
      <c r="L936" s="733"/>
      <c r="M936" s="877"/>
      <c r="N936" s="733"/>
      <c r="O936" s="733"/>
    </row>
    <row r="937" spans="2:15">
      <c r="B937" s="332"/>
      <c r="C937" s="723">
        <f>IF(D898="","-",+C936+1)</f>
        <v>2049</v>
      </c>
      <c r="D937" s="674">
        <f t="shared" si="56"/>
        <v>14158738.369565196</v>
      </c>
      <c r="E937" s="730">
        <f t="shared" si="59"/>
        <v>1048795.4347826086</v>
      </c>
      <c r="F937" s="674">
        <f t="shared" si="54"/>
        <v>13109942.934782587</v>
      </c>
      <c r="G937" s="1265">
        <f t="shared" si="57"/>
        <v>2425365.3835165631</v>
      </c>
      <c r="H937" s="1268">
        <f t="shared" si="58"/>
        <v>2425365.3835165631</v>
      </c>
      <c r="I937" s="727">
        <f t="shared" si="55"/>
        <v>0</v>
      </c>
      <c r="J937" s="727"/>
      <c r="K937" s="877"/>
      <c r="L937" s="733"/>
      <c r="M937" s="877"/>
      <c r="N937" s="733"/>
      <c r="O937" s="733"/>
    </row>
    <row r="938" spans="2:15">
      <c r="B938" s="332"/>
      <c r="C938" s="723">
        <f>IF(D898="","-",+C937+1)</f>
        <v>2050</v>
      </c>
      <c r="D938" s="674">
        <f t="shared" si="56"/>
        <v>13109942.934782587</v>
      </c>
      <c r="E938" s="730">
        <f t="shared" si="59"/>
        <v>1048795.4347826086</v>
      </c>
      <c r="F938" s="674">
        <f t="shared" si="54"/>
        <v>12061147.499999978</v>
      </c>
      <c r="G938" s="1265">
        <f t="shared" si="57"/>
        <v>2319475.3874601051</v>
      </c>
      <c r="H938" s="1268">
        <f t="shared" si="58"/>
        <v>2319475.3874601051</v>
      </c>
      <c r="I938" s="727">
        <f t="shared" si="55"/>
        <v>0</v>
      </c>
      <c r="J938" s="727"/>
      <c r="K938" s="877"/>
      <c r="L938" s="733"/>
      <c r="M938" s="877"/>
      <c r="N938" s="733"/>
      <c r="O938" s="733"/>
    </row>
    <row r="939" spans="2:15">
      <c r="B939" s="332"/>
      <c r="C939" s="723">
        <f>IF(D898="","-",+C938+1)</f>
        <v>2051</v>
      </c>
      <c r="D939" s="674">
        <f t="shared" si="56"/>
        <v>12061147.499999978</v>
      </c>
      <c r="E939" s="730">
        <f t="shared" si="59"/>
        <v>1048795.4347826086</v>
      </c>
      <c r="F939" s="674">
        <f t="shared" si="54"/>
        <v>11012352.065217368</v>
      </c>
      <c r="G939" s="1265">
        <f t="shared" si="57"/>
        <v>2213585.3914036467</v>
      </c>
      <c r="H939" s="1268">
        <f t="shared" si="58"/>
        <v>2213585.3914036467</v>
      </c>
      <c r="I939" s="727">
        <f t="shared" si="55"/>
        <v>0</v>
      </c>
      <c r="J939" s="727"/>
      <c r="K939" s="877"/>
      <c r="L939" s="733"/>
      <c r="M939" s="877"/>
      <c r="N939" s="733"/>
      <c r="O939" s="733"/>
    </row>
    <row r="940" spans="2:15">
      <c r="B940" s="332"/>
      <c r="C940" s="723">
        <f>IF(D898="","-",+C939+1)</f>
        <v>2052</v>
      </c>
      <c r="D940" s="674">
        <f t="shared" si="56"/>
        <v>11012352.065217368</v>
      </c>
      <c r="E940" s="730">
        <f t="shared" si="59"/>
        <v>1048795.4347826086</v>
      </c>
      <c r="F940" s="674">
        <f t="shared" si="54"/>
        <v>9963556.630434759</v>
      </c>
      <c r="G940" s="1265">
        <f t="shared" si="57"/>
        <v>2107695.3953471882</v>
      </c>
      <c r="H940" s="1268">
        <f t="shared" si="58"/>
        <v>2107695.3953471882</v>
      </c>
      <c r="I940" s="727">
        <f t="shared" si="55"/>
        <v>0</v>
      </c>
      <c r="J940" s="727"/>
      <c r="K940" s="877"/>
      <c r="L940" s="733"/>
      <c r="M940" s="877"/>
      <c r="N940" s="733"/>
      <c r="O940" s="733"/>
    </row>
    <row r="941" spans="2:15">
      <c r="B941" s="332"/>
      <c r="C941" s="723">
        <f>IF(D898="","-",+C940+1)</f>
        <v>2053</v>
      </c>
      <c r="D941" s="674">
        <f t="shared" si="56"/>
        <v>9963556.630434759</v>
      </c>
      <c r="E941" s="730">
        <f t="shared" si="59"/>
        <v>1048795.4347826086</v>
      </c>
      <c r="F941" s="674">
        <f t="shared" si="54"/>
        <v>8914761.1956521496</v>
      </c>
      <c r="G941" s="1265">
        <f t="shared" si="57"/>
        <v>2001805.3992907302</v>
      </c>
      <c r="H941" s="1268">
        <f t="shared" si="58"/>
        <v>2001805.3992907302</v>
      </c>
      <c r="I941" s="727">
        <f t="shared" si="55"/>
        <v>0</v>
      </c>
      <c r="J941" s="727"/>
      <c r="K941" s="877"/>
      <c r="L941" s="733"/>
      <c r="M941" s="877"/>
      <c r="N941" s="733"/>
      <c r="O941" s="733"/>
    </row>
    <row r="942" spans="2:15">
      <c r="B942" s="332"/>
      <c r="C942" s="723">
        <f>IF(D898="","-",+C941+1)</f>
        <v>2054</v>
      </c>
      <c r="D942" s="674">
        <f t="shared" si="56"/>
        <v>8914761.1956521496</v>
      </c>
      <c r="E942" s="730">
        <f t="shared" si="59"/>
        <v>1048795.4347826086</v>
      </c>
      <c r="F942" s="674">
        <f t="shared" si="54"/>
        <v>7865965.7608695412</v>
      </c>
      <c r="G942" s="1265">
        <f t="shared" si="57"/>
        <v>1895915.4032342718</v>
      </c>
      <c r="H942" s="1268">
        <f t="shared" si="58"/>
        <v>1895915.4032342718</v>
      </c>
      <c r="I942" s="727">
        <f t="shared" si="55"/>
        <v>0</v>
      </c>
      <c r="J942" s="727"/>
      <c r="K942" s="877"/>
      <c r="L942" s="733"/>
      <c r="M942" s="877"/>
      <c r="N942" s="733"/>
      <c r="O942" s="733"/>
    </row>
    <row r="943" spans="2:15">
      <c r="B943" s="332"/>
      <c r="C943" s="723">
        <f>IF(D898="","-",+C942+1)</f>
        <v>2055</v>
      </c>
      <c r="D943" s="674">
        <f t="shared" si="56"/>
        <v>7865965.7608695412</v>
      </c>
      <c r="E943" s="730">
        <f t="shared" si="59"/>
        <v>1048795.4347826086</v>
      </c>
      <c r="F943" s="674">
        <f t="shared" si="54"/>
        <v>6817170.3260869328</v>
      </c>
      <c r="G943" s="1265">
        <f t="shared" si="57"/>
        <v>1790025.4071778138</v>
      </c>
      <c r="H943" s="1268">
        <f t="shared" si="58"/>
        <v>1790025.4071778138</v>
      </c>
      <c r="I943" s="727">
        <f t="shared" si="55"/>
        <v>0</v>
      </c>
      <c r="J943" s="727"/>
      <c r="K943" s="877"/>
      <c r="L943" s="733"/>
      <c r="M943" s="877"/>
      <c r="N943" s="733"/>
      <c r="O943" s="733"/>
    </row>
    <row r="944" spans="2:15">
      <c r="B944" s="332"/>
      <c r="C944" s="723">
        <f>IF(D898="","-",+C943+1)</f>
        <v>2056</v>
      </c>
      <c r="D944" s="674">
        <f t="shared" si="56"/>
        <v>6817170.3260869328</v>
      </c>
      <c r="E944" s="730">
        <f t="shared" si="59"/>
        <v>1048795.4347826086</v>
      </c>
      <c r="F944" s="674">
        <f t="shared" si="54"/>
        <v>5768374.8913043244</v>
      </c>
      <c r="G944" s="1265">
        <f t="shared" si="57"/>
        <v>1684135.4111213554</v>
      </c>
      <c r="H944" s="1268">
        <f t="shared" si="58"/>
        <v>1684135.4111213554</v>
      </c>
      <c r="I944" s="727">
        <f t="shared" si="55"/>
        <v>0</v>
      </c>
      <c r="J944" s="727"/>
      <c r="K944" s="877"/>
      <c r="L944" s="733"/>
      <c r="M944" s="877"/>
      <c r="N944" s="733"/>
      <c r="O944" s="733"/>
    </row>
    <row r="945" spans="2:15">
      <c r="B945" s="332"/>
      <c r="C945" s="723">
        <f>IF(D898="","-",+C944+1)</f>
        <v>2057</v>
      </c>
      <c r="D945" s="674">
        <f t="shared" si="56"/>
        <v>5768374.8913043244</v>
      </c>
      <c r="E945" s="730">
        <f t="shared" si="59"/>
        <v>1048795.4347826086</v>
      </c>
      <c r="F945" s="674">
        <f t="shared" si="54"/>
        <v>4719579.456521716</v>
      </c>
      <c r="G945" s="1265">
        <f t="shared" si="57"/>
        <v>1578245.4150648974</v>
      </c>
      <c r="H945" s="1268">
        <f t="shared" si="58"/>
        <v>1578245.4150648974</v>
      </c>
      <c r="I945" s="727">
        <f t="shared" si="55"/>
        <v>0</v>
      </c>
      <c r="J945" s="727"/>
      <c r="K945" s="877"/>
      <c r="L945" s="733"/>
      <c r="M945" s="877"/>
      <c r="N945" s="733"/>
      <c r="O945" s="733"/>
    </row>
    <row r="946" spans="2:15">
      <c r="B946" s="332"/>
      <c r="C946" s="723">
        <f>IF(D898="","-",+C945+1)</f>
        <v>2058</v>
      </c>
      <c r="D946" s="674">
        <f t="shared" si="56"/>
        <v>4719579.456521716</v>
      </c>
      <c r="E946" s="730">
        <f t="shared" si="59"/>
        <v>1048795.4347826086</v>
      </c>
      <c r="F946" s="674">
        <f t="shared" si="54"/>
        <v>3670784.0217391076</v>
      </c>
      <c r="G946" s="1265">
        <f t="shared" si="57"/>
        <v>1472355.4190084392</v>
      </c>
      <c r="H946" s="1268">
        <f t="shared" si="58"/>
        <v>1472355.4190084392</v>
      </c>
      <c r="I946" s="727">
        <f t="shared" si="55"/>
        <v>0</v>
      </c>
      <c r="J946" s="727"/>
      <c r="K946" s="877"/>
      <c r="L946" s="733"/>
      <c r="M946" s="877"/>
      <c r="N946" s="733"/>
      <c r="O946" s="733"/>
    </row>
    <row r="947" spans="2:15">
      <c r="B947" s="332"/>
      <c r="C947" s="723">
        <f>IF(D898="","-",+C946+1)</f>
        <v>2059</v>
      </c>
      <c r="D947" s="674">
        <f t="shared" si="56"/>
        <v>3670784.0217391076</v>
      </c>
      <c r="E947" s="730">
        <f t="shared" si="59"/>
        <v>1048795.4347826086</v>
      </c>
      <c r="F947" s="674">
        <f t="shared" si="54"/>
        <v>2621988.5869564991</v>
      </c>
      <c r="G947" s="1265">
        <f t="shared" si="57"/>
        <v>1366465.422951981</v>
      </c>
      <c r="H947" s="1268">
        <f t="shared" si="58"/>
        <v>1366465.422951981</v>
      </c>
      <c r="I947" s="727">
        <f t="shared" si="55"/>
        <v>0</v>
      </c>
      <c r="J947" s="727"/>
      <c r="K947" s="877"/>
      <c r="L947" s="733"/>
      <c r="M947" s="877"/>
      <c r="N947" s="733"/>
      <c r="O947" s="733"/>
    </row>
    <row r="948" spans="2:15">
      <c r="B948" s="332"/>
      <c r="C948" s="723">
        <f>IF(D898="","-",+C947+1)</f>
        <v>2060</v>
      </c>
      <c r="D948" s="674">
        <f t="shared" si="56"/>
        <v>2621988.5869564991</v>
      </c>
      <c r="E948" s="730">
        <f t="shared" si="59"/>
        <v>1048795.4347826086</v>
      </c>
      <c r="F948" s="674">
        <f t="shared" si="54"/>
        <v>1573193.1521738905</v>
      </c>
      <c r="G948" s="1265">
        <f t="shared" si="57"/>
        <v>1260575.4268955227</v>
      </c>
      <c r="H948" s="1268">
        <f t="shared" si="58"/>
        <v>1260575.4268955227</v>
      </c>
      <c r="I948" s="727">
        <f t="shared" si="55"/>
        <v>0</v>
      </c>
      <c r="J948" s="727"/>
      <c r="K948" s="877"/>
      <c r="L948" s="733"/>
      <c r="M948" s="877"/>
      <c r="N948" s="733"/>
      <c r="O948" s="733"/>
    </row>
    <row r="949" spans="2:15">
      <c r="B949" s="332"/>
      <c r="C949" s="723">
        <f>IF(D898="","-",+C948+1)</f>
        <v>2061</v>
      </c>
      <c r="D949" s="674">
        <f t="shared" si="56"/>
        <v>1573193.1521738905</v>
      </c>
      <c r="E949" s="730">
        <f t="shared" si="59"/>
        <v>1048795.4347826086</v>
      </c>
      <c r="F949" s="674">
        <f t="shared" si="54"/>
        <v>524397.71739128185</v>
      </c>
      <c r="G949" s="1265">
        <f t="shared" si="57"/>
        <v>1154685.4308390645</v>
      </c>
      <c r="H949" s="1268">
        <f t="shared" si="58"/>
        <v>1154685.4308390645</v>
      </c>
      <c r="I949" s="727">
        <f t="shared" si="55"/>
        <v>0</v>
      </c>
      <c r="J949" s="727"/>
      <c r="K949" s="877"/>
      <c r="L949" s="733"/>
      <c r="M949" s="877"/>
      <c r="N949" s="733"/>
      <c r="O949" s="733"/>
    </row>
    <row r="950" spans="2:15">
      <c r="B950" s="332"/>
      <c r="C950" s="723">
        <f>IF(D898="","-",+C949+1)</f>
        <v>2062</v>
      </c>
      <c r="D950" s="674">
        <f t="shared" si="56"/>
        <v>524397.71739128185</v>
      </c>
      <c r="E950" s="730">
        <f t="shared" si="59"/>
        <v>524397.71739128185</v>
      </c>
      <c r="F950" s="674">
        <f t="shared" si="54"/>
        <v>0</v>
      </c>
      <c r="G950" s="1265">
        <f t="shared" si="57"/>
        <v>550870.2164053953</v>
      </c>
      <c r="H950" s="1268">
        <f t="shared" si="58"/>
        <v>550870.2164053953</v>
      </c>
      <c r="I950" s="727">
        <f t="shared" si="55"/>
        <v>0</v>
      </c>
      <c r="J950" s="727"/>
      <c r="K950" s="877"/>
      <c r="L950" s="733"/>
      <c r="M950" s="877"/>
      <c r="N950" s="733"/>
      <c r="O950" s="733"/>
    </row>
    <row r="951" spans="2:15">
      <c r="B951" s="332"/>
      <c r="C951" s="723">
        <f>IF(D898="","-",+C950+1)</f>
        <v>2063</v>
      </c>
      <c r="D951" s="674">
        <f t="shared" si="56"/>
        <v>0</v>
      </c>
      <c r="E951" s="730">
        <f t="shared" si="59"/>
        <v>0</v>
      </c>
      <c r="F951" s="674">
        <f t="shared" si="54"/>
        <v>0</v>
      </c>
      <c r="G951" s="1265">
        <f t="shared" si="57"/>
        <v>0</v>
      </c>
      <c r="H951" s="1268">
        <f t="shared" si="58"/>
        <v>0</v>
      </c>
      <c r="I951" s="727">
        <f t="shared" si="55"/>
        <v>0</v>
      </c>
      <c r="J951" s="727"/>
      <c r="K951" s="877"/>
      <c r="L951" s="733"/>
      <c r="M951" s="877"/>
      <c r="N951" s="733"/>
      <c r="O951" s="733"/>
    </row>
    <row r="952" spans="2:15">
      <c r="B952" s="332"/>
      <c r="C952" s="723">
        <f>IF(D898="","-",+C951+1)</f>
        <v>2064</v>
      </c>
      <c r="D952" s="674">
        <f t="shared" si="56"/>
        <v>0</v>
      </c>
      <c r="E952" s="730">
        <f t="shared" si="59"/>
        <v>0</v>
      </c>
      <c r="F952" s="674">
        <f t="shared" si="54"/>
        <v>0</v>
      </c>
      <c r="G952" s="1265">
        <f t="shared" si="57"/>
        <v>0</v>
      </c>
      <c r="H952" s="1268">
        <f t="shared" si="58"/>
        <v>0</v>
      </c>
      <c r="I952" s="727">
        <f t="shared" si="55"/>
        <v>0</v>
      </c>
      <c r="J952" s="727"/>
      <c r="K952" s="877"/>
      <c r="L952" s="733"/>
      <c r="M952" s="877"/>
      <c r="N952" s="733"/>
      <c r="O952" s="733"/>
    </row>
    <row r="953" spans="2:15">
      <c r="B953" s="332"/>
      <c r="C953" s="723">
        <f>IF(D898="","-",+C952+1)</f>
        <v>2065</v>
      </c>
      <c r="D953" s="674">
        <f t="shared" si="56"/>
        <v>0</v>
      </c>
      <c r="E953" s="730">
        <f t="shared" si="59"/>
        <v>0</v>
      </c>
      <c r="F953" s="674">
        <f t="shared" si="54"/>
        <v>0</v>
      </c>
      <c r="G953" s="1265">
        <f t="shared" si="57"/>
        <v>0</v>
      </c>
      <c r="H953" s="1268">
        <f t="shared" si="58"/>
        <v>0</v>
      </c>
      <c r="I953" s="727">
        <f t="shared" si="55"/>
        <v>0</v>
      </c>
      <c r="J953" s="727"/>
      <c r="K953" s="877"/>
      <c r="L953" s="733"/>
      <c r="M953" s="877"/>
      <c r="N953" s="733"/>
      <c r="O953" s="733"/>
    </row>
    <row r="954" spans="2:15">
      <c r="B954" s="332"/>
      <c r="C954" s="723">
        <f>IF(D898="","-",+C953+1)</f>
        <v>2066</v>
      </c>
      <c r="D954" s="674">
        <f t="shared" si="56"/>
        <v>0</v>
      </c>
      <c r="E954" s="730">
        <f t="shared" si="59"/>
        <v>0</v>
      </c>
      <c r="F954" s="674">
        <f t="shared" si="54"/>
        <v>0</v>
      </c>
      <c r="G954" s="1265">
        <f t="shared" si="57"/>
        <v>0</v>
      </c>
      <c r="H954" s="1268">
        <f t="shared" si="58"/>
        <v>0</v>
      </c>
      <c r="I954" s="727">
        <f t="shared" si="55"/>
        <v>0</v>
      </c>
      <c r="J954" s="727"/>
      <c r="K954" s="877"/>
      <c r="L954" s="733"/>
      <c r="M954" s="877"/>
      <c r="N954" s="733"/>
      <c r="O954" s="733"/>
    </row>
    <row r="955" spans="2:15">
      <c r="B955" s="332"/>
      <c r="C955" s="723">
        <f>IF(D898="","-",+C954+1)</f>
        <v>2067</v>
      </c>
      <c r="D955" s="674">
        <f t="shared" si="56"/>
        <v>0</v>
      </c>
      <c r="E955" s="730">
        <f t="shared" si="59"/>
        <v>0</v>
      </c>
      <c r="F955" s="674">
        <f t="shared" si="54"/>
        <v>0</v>
      </c>
      <c r="G955" s="1265">
        <f t="shared" si="57"/>
        <v>0</v>
      </c>
      <c r="H955" s="1268">
        <f t="shared" si="58"/>
        <v>0</v>
      </c>
      <c r="I955" s="727">
        <f t="shared" si="55"/>
        <v>0</v>
      </c>
      <c r="J955" s="727"/>
      <c r="K955" s="877"/>
      <c r="L955" s="733"/>
      <c r="M955" s="877"/>
      <c r="N955" s="733"/>
      <c r="O955" s="733"/>
    </row>
    <row r="956" spans="2:15">
      <c r="B956" s="332"/>
      <c r="C956" s="723">
        <f>IF(D898="","-",+C955+1)</f>
        <v>2068</v>
      </c>
      <c r="D956" s="674">
        <f t="shared" si="56"/>
        <v>0</v>
      </c>
      <c r="E956" s="730">
        <f t="shared" si="59"/>
        <v>0</v>
      </c>
      <c r="F956" s="674">
        <f t="shared" si="54"/>
        <v>0</v>
      </c>
      <c r="G956" s="1265">
        <f t="shared" si="57"/>
        <v>0</v>
      </c>
      <c r="H956" s="1268">
        <f t="shared" si="58"/>
        <v>0</v>
      </c>
      <c r="I956" s="727">
        <f t="shared" si="55"/>
        <v>0</v>
      </c>
      <c r="J956" s="727"/>
      <c r="K956" s="877"/>
      <c r="L956" s="733"/>
      <c r="M956" s="877"/>
      <c r="N956" s="733"/>
      <c r="O956" s="733"/>
    </row>
    <row r="957" spans="2:15">
      <c r="B957" s="332"/>
      <c r="C957" s="723">
        <f>IF(D898="","-",+C956+1)</f>
        <v>2069</v>
      </c>
      <c r="D957" s="674">
        <f t="shared" si="56"/>
        <v>0</v>
      </c>
      <c r="E957" s="730">
        <f t="shared" si="59"/>
        <v>0</v>
      </c>
      <c r="F957" s="674">
        <f t="shared" si="54"/>
        <v>0</v>
      </c>
      <c r="G957" s="1265">
        <f t="shared" si="57"/>
        <v>0</v>
      </c>
      <c r="H957" s="1268">
        <f t="shared" si="58"/>
        <v>0</v>
      </c>
      <c r="I957" s="727">
        <f t="shared" si="55"/>
        <v>0</v>
      </c>
      <c r="J957" s="727"/>
      <c r="K957" s="877"/>
      <c r="L957" s="733"/>
      <c r="M957" s="877"/>
      <c r="N957" s="733"/>
      <c r="O957" s="733"/>
    </row>
    <row r="958" spans="2:15">
      <c r="B958" s="332"/>
      <c r="C958" s="723">
        <f>IF(D898="","-",+C957+1)</f>
        <v>2070</v>
      </c>
      <c r="D958" s="674">
        <f t="shared" si="56"/>
        <v>0</v>
      </c>
      <c r="E958" s="730">
        <f t="shared" si="59"/>
        <v>0</v>
      </c>
      <c r="F958" s="674">
        <f t="shared" si="54"/>
        <v>0</v>
      </c>
      <c r="G958" s="1265">
        <f t="shared" si="57"/>
        <v>0</v>
      </c>
      <c r="H958" s="1268">
        <f t="shared" si="58"/>
        <v>0</v>
      </c>
      <c r="I958" s="727">
        <f t="shared" si="55"/>
        <v>0</v>
      </c>
      <c r="J958" s="727"/>
      <c r="K958" s="877"/>
      <c r="L958" s="733"/>
      <c r="M958" s="877"/>
      <c r="N958" s="733"/>
      <c r="O958" s="733"/>
    </row>
    <row r="959" spans="2:15">
      <c r="B959" s="332"/>
      <c r="C959" s="723">
        <f>IF(D898="","-",+C958+1)</f>
        <v>2071</v>
      </c>
      <c r="D959" s="674">
        <f t="shared" si="56"/>
        <v>0</v>
      </c>
      <c r="E959" s="730">
        <f t="shared" si="59"/>
        <v>0</v>
      </c>
      <c r="F959" s="674">
        <f t="shared" si="54"/>
        <v>0</v>
      </c>
      <c r="G959" s="1265">
        <f t="shared" si="57"/>
        <v>0</v>
      </c>
      <c r="H959" s="1268">
        <f t="shared" si="58"/>
        <v>0</v>
      </c>
      <c r="I959" s="727">
        <f t="shared" si="55"/>
        <v>0</v>
      </c>
      <c r="J959" s="727"/>
      <c r="K959" s="877"/>
      <c r="L959" s="733"/>
      <c r="M959" s="877"/>
      <c r="N959" s="733"/>
      <c r="O959" s="733"/>
    </row>
    <row r="960" spans="2:15">
      <c r="B960" s="332"/>
      <c r="C960" s="723">
        <f>IF(D898="","-",+C959+1)</f>
        <v>2072</v>
      </c>
      <c r="D960" s="674">
        <f t="shared" si="56"/>
        <v>0</v>
      </c>
      <c r="E960" s="730">
        <f t="shared" si="59"/>
        <v>0</v>
      </c>
      <c r="F960" s="674">
        <f t="shared" si="54"/>
        <v>0</v>
      </c>
      <c r="G960" s="1265">
        <f t="shared" si="57"/>
        <v>0</v>
      </c>
      <c r="H960" s="1268">
        <f t="shared" si="58"/>
        <v>0</v>
      </c>
      <c r="I960" s="727">
        <f t="shared" si="55"/>
        <v>0</v>
      </c>
      <c r="J960" s="727"/>
      <c r="K960" s="877"/>
      <c r="L960" s="733"/>
      <c r="M960" s="877"/>
      <c r="N960" s="733"/>
      <c r="O960" s="733"/>
    </row>
    <row r="961" spans="1:16">
      <c r="B961" s="332"/>
      <c r="C961" s="723">
        <f>IF(D898="","-",+C960+1)</f>
        <v>2073</v>
      </c>
      <c r="D961" s="674">
        <f t="shared" si="56"/>
        <v>0</v>
      </c>
      <c r="E961" s="730">
        <f t="shared" si="59"/>
        <v>0</v>
      </c>
      <c r="F961" s="674">
        <f t="shared" si="54"/>
        <v>0</v>
      </c>
      <c r="G961" s="1265">
        <f t="shared" si="57"/>
        <v>0</v>
      </c>
      <c r="H961" s="1268">
        <f t="shared" si="58"/>
        <v>0</v>
      </c>
      <c r="I961" s="727">
        <f t="shared" si="55"/>
        <v>0</v>
      </c>
      <c r="J961" s="727"/>
      <c r="K961" s="877"/>
      <c r="L961" s="733"/>
      <c r="M961" s="877"/>
      <c r="N961" s="733"/>
      <c r="O961" s="733"/>
    </row>
    <row r="962" spans="1:16">
      <c r="B962" s="332"/>
      <c r="C962" s="723">
        <f>IF(D898="","-",+C961+1)</f>
        <v>2074</v>
      </c>
      <c r="D962" s="674">
        <f t="shared" si="56"/>
        <v>0</v>
      </c>
      <c r="E962" s="730">
        <f t="shared" si="59"/>
        <v>0</v>
      </c>
      <c r="F962" s="674">
        <f t="shared" si="54"/>
        <v>0</v>
      </c>
      <c r="G962" s="1265">
        <f t="shared" si="57"/>
        <v>0</v>
      </c>
      <c r="H962" s="1268">
        <f t="shared" si="58"/>
        <v>0</v>
      </c>
      <c r="I962" s="727">
        <f t="shared" si="55"/>
        <v>0</v>
      </c>
      <c r="J962" s="727"/>
      <c r="K962" s="877"/>
      <c r="L962" s="733"/>
      <c r="M962" s="877"/>
      <c r="N962" s="733"/>
      <c r="O962" s="733"/>
    </row>
    <row r="963" spans="1:16" ht="13.5" thickBot="1">
      <c r="B963" s="332"/>
      <c r="C963" s="735">
        <f>IF(D898="","-",+C962+1)</f>
        <v>2075</v>
      </c>
      <c r="D963" s="736">
        <f t="shared" si="56"/>
        <v>0</v>
      </c>
      <c r="E963" s="737">
        <f t="shared" si="59"/>
        <v>0</v>
      </c>
      <c r="F963" s="736">
        <f t="shared" si="54"/>
        <v>0</v>
      </c>
      <c r="G963" s="1275">
        <f t="shared" si="57"/>
        <v>0</v>
      </c>
      <c r="H963" s="1275">
        <f t="shared" si="58"/>
        <v>0</v>
      </c>
      <c r="I963" s="739">
        <f t="shared" si="55"/>
        <v>0</v>
      </c>
      <c r="J963" s="727"/>
      <c r="K963" s="878"/>
      <c r="L963" s="741"/>
      <c r="M963" s="878"/>
      <c r="N963" s="741"/>
      <c r="O963" s="741"/>
    </row>
    <row r="964" spans="1:16">
      <c r="B964" s="332"/>
      <c r="C964" s="674" t="s">
        <v>288</v>
      </c>
      <c r="D964" s="1246"/>
      <c r="E964" s="1246">
        <f>SUM(E904:E963)</f>
        <v>48244590</v>
      </c>
      <c r="F964" s="1246"/>
      <c r="G964" s="1246">
        <f>SUM(G904:G963)</f>
        <v>162711675.73703119</v>
      </c>
      <c r="H964" s="1246">
        <f>SUM(H904:H963)</f>
        <v>162711675.73703119</v>
      </c>
      <c r="I964" s="1246">
        <f>SUM(I904:I963)</f>
        <v>0</v>
      </c>
      <c r="J964" s="1246"/>
      <c r="K964" s="1246"/>
      <c r="L964" s="1246"/>
      <c r="M964" s="1246"/>
      <c r="N964" s="1246"/>
      <c r="O964" s="541"/>
    </row>
    <row r="965" spans="1:16">
      <c r="B965" s="332"/>
      <c r="D965" s="564"/>
      <c r="E965" s="541"/>
      <c r="F965" s="541"/>
      <c r="G965" s="541"/>
      <c r="H965" s="1245"/>
      <c r="I965" s="1245"/>
      <c r="J965" s="1246"/>
      <c r="K965" s="1245"/>
      <c r="L965" s="1245"/>
      <c r="M965" s="1245"/>
      <c r="N965" s="1245"/>
      <c r="O965" s="541"/>
    </row>
    <row r="966" spans="1:16">
      <c r="B966" s="332"/>
      <c r="C966" s="541" t="s">
        <v>601</v>
      </c>
      <c r="D966" s="564"/>
      <c r="E966" s="541"/>
      <c r="F966" s="541"/>
      <c r="G966" s="541"/>
      <c r="H966" s="1245"/>
      <c r="I966" s="1245"/>
      <c r="J966" s="1246"/>
      <c r="K966" s="1245"/>
      <c r="L966" s="1245"/>
      <c r="M966" s="1245"/>
      <c r="N966" s="1245"/>
      <c r="O966" s="541"/>
    </row>
    <row r="967" spans="1:16">
      <c r="B967" s="332"/>
      <c r="D967" s="564"/>
      <c r="E967" s="541"/>
      <c r="F967" s="541"/>
      <c r="G967" s="541"/>
      <c r="H967" s="1245"/>
      <c r="I967" s="1245"/>
      <c r="J967" s="1246"/>
      <c r="K967" s="1245"/>
      <c r="L967" s="1245"/>
      <c r="M967" s="1245"/>
      <c r="N967" s="1245"/>
      <c r="O967" s="541"/>
    </row>
    <row r="968" spans="1:16">
      <c r="B968" s="332"/>
      <c r="C968" s="577" t="s">
        <v>602</v>
      </c>
      <c r="D968" s="674"/>
      <c r="E968" s="674"/>
      <c r="F968" s="674"/>
      <c r="G968" s="1246"/>
      <c r="H968" s="1246"/>
      <c r="I968" s="675"/>
      <c r="J968" s="675"/>
      <c r="K968" s="675"/>
      <c r="L968" s="675"/>
      <c r="M968" s="675"/>
      <c r="N968" s="675"/>
      <c r="O968" s="541"/>
    </row>
    <row r="969" spans="1:16">
      <c r="B969" s="332"/>
      <c r="C969" s="577" t="s">
        <v>476</v>
      </c>
      <c r="D969" s="674"/>
      <c r="E969" s="674"/>
      <c r="F969" s="674"/>
      <c r="G969" s="1246"/>
      <c r="H969" s="1246"/>
      <c r="I969" s="675"/>
      <c r="J969" s="675"/>
      <c r="K969" s="675"/>
      <c r="L969" s="675"/>
      <c r="M969" s="675"/>
      <c r="N969" s="675"/>
      <c r="O969" s="541"/>
    </row>
    <row r="970" spans="1:16">
      <c r="B970" s="332"/>
      <c r="C970" s="577" t="s">
        <v>289</v>
      </c>
      <c r="D970" s="674"/>
      <c r="E970" s="674"/>
      <c r="F970" s="674"/>
      <c r="G970" s="1246"/>
      <c r="H970" s="1246"/>
      <c r="I970" s="675"/>
      <c r="J970" s="675"/>
      <c r="K970" s="675"/>
      <c r="L970" s="675"/>
      <c r="M970" s="675"/>
      <c r="N970" s="675"/>
      <c r="O970" s="541"/>
    </row>
    <row r="971" spans="1:16">
      <c r="B971" s="332"/>
      <c r="C971" s="673"/>
      <c r="D971" s="674"/>
      <c r="E971" s="674"/>
      <c r="F971" s="674"/>
      <c r="G971" s="1246"/>
      <c r="H971" s="1246"/>
      <c r="I971" s="675"/>
      <c r="J971" s="675"/>
      <c r="K971" s="675"/>
      <c r="L971" s="675"/>
      <c r="M971" s="675"/>
      <c r="N971" s="675"/>
      <c r="O971" s="541"/>
    </row>
    <row r="972" spans="1:16">
      <c r="B972" s="332"/>
      <c r="C972" s="1543" t="s">
        <v>460</v>
      </c>
      <c r="D972" s="1543"/>
      <c r="E972" s="1543"/>
      <c r="F972" s="1543"/>
      <c r="G972" s="1543"/>
      <c r="H972" s="1543"/>
      <c r="I972" s="1543"/>
      <c r="J972" s="1543"/>
      <c r="K972" s="1543"/>
      <c r="L972" s="1543"/>
      <c r="M972" s="1543"/>
      <c r="N972" s="1543"/>
      <c r="O972" s="1543"/>
    </row>
    <row r="973" spans="1:16">
      <c r="B973" s="332"/>
      <c r="C973" s="1543"/>
      <c r="D973" s="1543"/>
      <c r="E973" s="1543"/>
      <c r="F973" s="1543"/>
      <c r="G973" s="1543"/>
      <c r="H973" s="1543"/>
      <c r="I973" s="1543"/>
      <c r="J973" s="1543"/>
      <c r="K973" s="1543"/>
      <c r="L973" s="1543"/>
      <c r="M973" s="1543"/>
      <c r="N973" s="1543"/>
      <c r="O973" s="1543"/>
    </row>
    <row r="974" spans="1:16" ht="20.25">
      <c r="A974" s="676" t="s">
        <v>972</v>
      </c>
      <c r="B974" s="541"/>
      <c r="C974" s="656"/>
      <c r="D974" s="564"/>
      <c r="E974" s="541"/>
      <c r="F974" s="646"/>
      <c r="G974" s="541"/>
      <c r="H974" s="1245"/>
      <c r="K974" s="677"/>
      <c r="L974" s="677"/>
      <c r="M974" s="677"/>
      <c r="N974" s="592" t="str">
        <f>"Page "&amp;SUM(P$6:P974)&amp;" of "</f>
        <v xml:space="preserve">Page 12 of </v>
      </c>
      <c r="O974" s="593">
        <f>COUNT(P$6:P$59606)</f>
        <v>14</v>
      </c>
      <c r="P974" s="541">
        <v>1</v>
      </c>
    </row>
    <row r="975" spans="1:16">
      <c r="B975" s="541"/>
      <c r="C975" s="541"/>
      <c r="D975" s="564"/>
      <c r="E975" s="541"/>
      <c r="F975" s="541"/>
      <c r="G975" s="541"/>
      <c r="H975" s="1245"/>
      <c r="I975" s="541"/>
      <c r="J975" s="589"/>
      <c r="K975" s="541"/>
      <c r="L975" s="541"/>
      <c r="M975" s="541"/>
      <c r="N975" s="541"/>
      <c r="O975" s="541"/>
    </row>
    <row r="976" spans="1:16" ht="18">
      <c r="B976" s="596" t="s">
        <v>174</v>
      </c>
      <c r="C976" s="678" t="s">
        <v>290</v>
      </c>
      <c r="D976" s="564"/>
      <c r="E976" s="541"/>
      <c r="F976" s="541"/>
      <c r="G976" s="541"/>
      <c r="H976" s="1245"/>
      <c r="I976" s="1245"/>
      <c r="J976" s="1246"/>
      <c r="K976" s="1245"/>
      <c r="L976" s="1245"/>
      <c r="M976" s="1245"/>
      <c r="N976" s="1245"/>
      <c r="O976" s="541"/>
    </row>
    <row r="977" spans="1:15" ht="18.75">
      <c r="B977" s="596"/>
      <c r="C977" s="595"/>
      <c r="D977" s="564"/>
      <c r="E977" s="541"/>
      <c r="F977" s="541"/>
      <c r="G977" s="541"/>
      <c r="H977" s="1245"/>
      <c r="I977" s="1245"/>
      <c r="J977" s="1246"/>
      <c r="K977" s="1245"/>
      <c r="L977" s="1245"/>
      <c r="M977" s="1245"/>
      <c r="N977" s="1245"/>
      <c r="O977" s="541"/>
    </row>
    <row r="978" spans="1:15" ht="18.75">
      <c r="B978" s="596"/>
      <c r="C978" s="595" t="s">
        <v>291</v>
      </c>
      <c r="D978" s="564"/>
      <c r="E978" s="541"/>
      <c r="F978" s="541"/>
      <c r="G978" s="541"/>
      <c r="H978" s="1245"/>
      <c r="I978" s="1245"/>
      <c r="J978" s="1246"/>
      <c r="K978" s="1245"/>
      <c r="L978" s="1245"/>
      <c r="M978" s="1245"/>
      <c r="N978" s="1245"/>
      <c r="O978" s="541"/>
    </row>
    <row r="979" spans="1:15" ht="15.75" thickBot="1">
      <c r="B979" s="332"/>
      <c r="C979" s="398"/>
      <c r="D979" s="564"/>
      <c r="E979" s="541"/>
      <c r="F979" s="541"/>
      <c r="G979" s="541"/>
      <c r="H979" s="1245"/>
      <c r="I979" s="1245"/>
      <c r="J979" s="1246"/>
      <c r="K979" s="1245"/>
      <c r="L979" s="1245"/>
      <c r="M979" s="1245"/>
      <c r="N979" s="1245"/>
      <c r="O979" s="541"/>
    </row>
    <row r="980" spans="1:15" ht="15.75">
      <c r="B980" s="332"/>
      <c r="C980" s="597" t="s">
        <v>292</v>
      </c>
      <c r="D980" s="564"/>
      <c r="E980" s="541"/>
      <c r="F980" s="541"/>
      <c r="G980" s="1247"/>
      <c r="H980" s="541" t="s">
        <v>271</v>
      </c>
      <c r="I980" s="541"/>
      <c r="J980" s="589"/>
      <c r="K980" s="679" t="s">
        <v>296</v>
      </c>
      <c r="L980" s="680"/>
      <c r="M980" s="681"/>
      <c r="N980" s="1248">
        <f>VLOOKUP(I986,C993:O1052,5)</f>
        <v>30285.066504688908</v>
      </c>
      <c r="O980" s="541"/>
    </row>
    <row r="981" spans="1:15" ht="15.75">
      <c r="B981" s="332"/>
      <c r="C981" s="597"/>
      <c r="D981" s="564"/>
      <c r="E981" s="541"/>
      <c r="F981" s="541"/>
      <c r="G981" s="541"/>
      <c r="H981" s="1249"/>
      <c r="I981" s="1249"/>
      <c r="J981" s="1250"/>
      <c r="K981" s="684" t="s">
        <v>297</v>
      </c>
      <c r="L981" s="1251"/>
      <c r="M981" s="589"/>
      <c r="N981" s="1252">
        <f>VLOOKUP(I986,C993:O1052,6)</f>
        <v>30285.066504688908</v>
      </c>
      <c r="O981" s="541"/>
    </row>
    <row r="982" spans="1:15" ht="13.5" thickBot="1">
      <c r="B982" s="332"/>
      <c r="C982" s="685" t="s">
        <v>293</v>
      </c>
      <c r="D982" s="1544" t="s">
        <v>984</v>
      </c>
      <c r="E982" s="1544"/>
      <c r="F982" s="1544"/>
      <c r="G982" s="1544"/>
      <c r="H982" s="1544"/>
      <c r="I982" s="1245"/>
      <c r="J982" s="1246"/>
      <c r="K982" s="1253" t="s">
        <v>450</v>
      </c>
      <c r="L982" s="1254"/>
      <c r="M982" s="1254"/>
      <c r="N982" s="1255">
        <f>+N981-N980</f>
        <v>0</v>
      </c>
      <c r="O982" s="541"/>
    </row>
    <row r="983" spans="1:15">
      <c r="B983" s="332"/>
      <c r="C983" s="687"/>
      <c r="D983" s="688"/>
      <c r="E983" s="672"/>
      <c r="F983" s="672"/>
      <c r="G983" s="689"/>
      <c r="H983" s="1245"/>
      <c r="I983" s="1245"/>
      <c r="J983" s="1246"/>
      <c r="K983" s="1245"/>
      <c r="L983" s="1245"/>
      <c r="M983" s="1245"/>
      <c r="N983" s="1245"/>
      <c r="O983" s="541"/>
    </row>
    <row r="984" spans="1:15" ht="13.5" thickBot="1">
      <c r="B984" s="332"/>
      <c r="C984" s="690"/>
      <c r="D984" s="691"/>
      <c r="E984" s="689"/>
      <c r="F984" s="689"/>
      <c r="G984" s="689"/>
      <c r="H984" s="689"/>
      <c r="I984" s="689"/>
      <c r="J984" s="692"/>
      <c r="K984" s="689"/>
      <c r="L984" s="689"/>
      <c r="M984" s="689"/>
      <c r="N984" s="689"/>
      <c r="O984" s="577"/>
    </row>
    <row r="985" spans="1:15" ht="13.5" thickBot="1">
      <c r="B985" s="332"/>
      <c r="C985" s="694" t="s">
        <v>294</v>
      </c>
      <c r="D985" s="695"/>
      <c r="E985" s="695"/>
      <c r="F985" s="695"/>
      <c r="G985" s="695"/>
      <c r="H985" s="695"/>
      <c r="I985" s="696"/>
      <c r="J985" s="697"/>
      <c r="K985" s="541"/>
      <c r="L985" s="541"/>
      <c r="M985" s="541"/>
      <c r="N985" s="541"/>
      <c r="O985" s="698"/>
    </row>
    <row r="986" spans="1:15" ht="15">
      <c r="C986" s="700" t="s">
        <v>272</v>
      </c>
      <c r="D986" s="1256">
        <v>267989</v>
      </c>
      <c r="E986" s="656" t="s">
        <v>273</v>
      </c>
      <c r="G986" s="701"/>
      <c r="H986" s="701"/>
      <c r="I986" s="702">
        <v>2018</v>
      </c>
      <c r="J986" s="587"/>
      <c r="K986" s="1542" t="s">
        <v>459</v>
      </c>
      <c r="L986" s="1542"/>
      <c r="M986" s="1542"/>
      <c r="N986" s="1542"/>
      <c r="O986" s="1542"/>
    </row>
    <row r="987" spans="1:15">
      <c r="C987" s="700" t="s">
        <v>275</v>
      </c>
      <c r="D987" s="872">
        <v>2014</v>
      </c>
      <c r="E987" s="700" t="s">
        <v>276</v>
      </c>
      <c r="F987" s="701"/>
      <c r="H987" s="332"/>
      <c r="I987" s="875">
        <f>IF(G980="",0,$F$15)</f>
        <v>0</v>
      </c>
      <c r="J987" s="703"/>
      <c r="K987" s="1246" t="s">
        <v>459</v>
      </c>
    </row>
    <row r="988" spans="1:15">
      <c r="C988" s="700" t="s">
        <v>277</v>
      </c>
      <c r="D988" s="1257">
        <v>1</v>
      </c>
      <c r="E988" s="700" t="s">
        <v>278</v>
      </c>
      <c r="F988" s="701"/>
      <c r="H988" s="332"/>
      <c r="I988" s="704">
        <f>$G$70</f>
        <v>0.1009634410531228</v>
      </c>
      <c r="J988" s="705"/>
      <c r="K988" s="332" t="str">
        <f>"          INPUT PROJECTED ARR (WITH &amp; WITHOUT INCENTIVES) FROM EACH PRIOR YEAR"</f>
        <v xml:space="preserve">          INPUT PROJECTED ARR (WITH &amp; WITHOUT INCENTIVES) FROM EACH PRIOR YEAR</v>
      </c>
    </row>
    <row r="989" spans="1:15">
      <c r="C989" s="700" t="s">
        <v>279</v>
      </c>
      <c r="D989" s="706">
        <f>G$79</f>
        <v>46</v>
      </c>
      <c r="E989" s="700" t="s">
        <v>280</v>
      </c>
      <c r="F989" s="701"/>
      <c r="H989" s="332"/>
      <c r="I989" s="704">
        <f>IF(G980="",I988,$G$67)</f>
        <v>0.1009634410531228</v>
      </c>
      <c r="J989" s="707"/>
      <c r="K989" s="332" t="s">
        <v>357</v>
      </c>
    </row>
    <row r="990" spans="1:15" ht="13.5" thickBot="1">
      <c r="C990" s="700" t="s">
        <v>281</v>
      </c>
      <c r="D990" s="874" t="s">
        <v>974</v>
      </c>
      <c r="E990" s="708" t="s">
        <v>282</v>
      </c>
      <c r="F990" s="709"/>
      <c r="G990" s="710"/>
      <c r="H990" s="710"/>
      <c r="I990" s="1255">
        <f>IF(D986=0,0,D986/D989)</f>
        <v>5825.847826086957</v>
      </c>
      <c r="J990" s="1246"/>
      <c r="K990" s="1246" t="s">
        <v>363</v>
      </c>
      <c r="L990" s="1246"/>
      <c r="M990" s="1246"/>
      <c r="N990" s="1246"/>
      <c r="O990" s="589"/>
    </row>
    <row r="991" spans="1:15" ht="51">
      <c r="A991" s="528"/>
      <c r="B991" s="528"/>
      <c r="C991" s="711" t="s">
        <v>272</v>
      </c>
      <c r="D991" s="1258" t="s">
        <v>283</v>
      </c>
      <c r="E991" s="1259" t="s">
        <v>284</v>
      </c>
      <c r="F991" s="1258" t="s">
        <v>285</v>
      </c>
      <c r="G991" s="1259" t="s">
        <v>356</v>
      </c>
      <c r="H991" s="1260" t="s">
        <v>356</v>
      </c>
      <c r="I991" s="711" t="s">
        <v>295</v>
      </c>
      <c r="J991" s="715"/>
      <c r="K991" s="1259" t="s">
        <v>365</v>
      </c>
      <c r="L991" s="1261"/>
      <c r="M991" s="1259" t="s">
        <v>365</v>
      </c>
      <c r="N991" s="1261"/>
      <c r="O991" s="1261"/>
    </row>
    <row r="992" spans="1:15" ht="13.5" thickBot="1">
      <c r="B992" s="332"/>
      <c r="C992" s="717" t="s">
        <v>177</v>
      </c>
      <c r="D992" s="718" t="s">
        <v>178</v>
      </c>
      <c r="E992" s="717" t="s">
        <v>37</v>
      </c>
      <c r="F992" s="718" t="s">
        <v>178</v>
      </c>
      <c r="G992" s="1262" t="s">
        <v>298</v>
      </c>
      <c r="H992" s="1263" t="s">
        <v>300</v>
      </c>
      <c r="I992" s="721" t="s">
        <v>389</v>
      </c>
      <c r="J992" s="722"/>
      <c r="K992" s="1262" t="s">
        <v>287</v>
      </c>
      <c r="L992" s="1264"/>
      <c r="M992" s="1262" t="s">
        <v>300</v>
      </c>
      <c r="N992" s="1264"/>
      <c r="O992" s="1264"/>
    </row>
    <row r="993" spans="2:15">
      <c r="B993" s="332"/>
      <c r="C993" s="723">
        <f>IF(D987= "","-",D987)</f>
        <v>2014</v>
      </c>
      <c r="D993" s="674">
        <f>+D986</f>
        <v>267989</v>
      </c>
      <c r="E993" s="1265">
        <f>+I990/12*(12-D988)</f>
        <v>5340.360507246377</v>
      </c>
      <c r="F993" s="674">
        <f t="shared" ref="F993:F1052" si="60">+D993-E993</f>
        <v>262648.6394927536</v>
      </c>
      <c r="G993" s="1266">
        <f>+$I$988*((D993+F993)/2)+E993</f>
        <v>32127.861524993805</v>
      </c>
      <c r="H993" s="1267">
        <f>+$I$989*((D993+F993)/2)+E993</f>
        <v>32127.861524993805</v>
      </c>
      <c r="I993" s="727">
        <f t="shared" ref="I993:I1052" si="61">+H993-G993</f>
        <v>0</v>
      </c>
      <c r="J993" s="727"/>
      <c r="K993" s="876"/>
      <c r="L993" s="729"/>
      <c r="M993" s="876"/>
      <c r="N993" s="729"/>
      <c r="O993" s="729"/>
    </row>
    <row r="994" spans="2:15">
      <c r="B994" s="332"/>
      <c r="C994" s="723">
        <f>IF(D987="","-",+C993+1)</f>
        <v>2015</v>
      </c>
      <c r="D994" s="674">
        <f t="shared" ref="D994:D1052" si="62">F993</f>
        <v>262648.6394927536</v>
      </c>
      <c r="E994" s="730">
        <f>IF(D994&gt;$I$990,$I$990,D994)</f>
        <v>5825.847826086957</v>
      </c>
      <c r="F994" s="674">
        <f t="shared" si="60"/>
        <v>256822.79166666666</v>
      </c>
      <c r="G994" s="1265">
        <f t="shared" ref="G994:G1052" si="63">+$I$988*((D994+F994)/2)+E994</f>
        <v>32049.659435409689</v>
      </c>
      <c r="H994" s="1268">
        <f t="shared" ref="H994:H1052" si="64">+$I$989*((D994+F994)/2)+E994</f>
        <v>32049.659435409689</v>
      </c>
      <c r="I994" s="727">
        <f t="shared" si="61"/>
        <v>0</v>
      </c>
      <c r="J994" s="727"/>
      <c r="K994" s="877"/>
      <c r="L994" s="733"/>
      <c r="M994" s="877"/>
      <c r="N994" s="733"/>
      <c r="O994" s="733"/>
    </row>
    <row r="995" spans="2:15">
      <c r="B995" s="332"/>
      <c r="C995" s="723">
        <f>IF(D987="","-",+C994+1)</f>
        <v>2016</v>
      </c>
      <c r="D995" s="674">
        <f t="shared" si="62"/>
        <v>256822.79166666666</v>
      </c>
      <c r="E995" s="730">
        <f t="shared" ref="E995:E1052" si="65">IF(D995&gt;$I$990,$I$990,D995)</f>
        <v>5825.847826086957</v>
      </c>
      <c r="F995" s="674">
        <f t="shared" si="60"/>
        <v>250996.94384057971</v>
      </c>
      <c r="G995" s="1265">
        <f t="shared" si="63"/>
        <v>31461.461791836093</v>
      </c>
      <c r="H995" s="1268">
        <f t="shared" si="64"/>
        <v>31461.461791836093</v>
      </c>
      <c r="I995" s="727">
        <f t="shared" si="61"/>
        <v>0</v>
      </c>
      <c r="J995" s="727"/>
      <c r="K995" s="1290"/>
      <c r="L995" s="1278"/>
      <c r="M995" s="1290"/>
      <c r="N995" s="733"/>
      <c r="O995" s="733"/>
    </row>
    <row r="996" spans="2:15">
      <c r="B996" s="332"/>
      <c r="C996" s="723">
        <f>IF(D987="","-",+C995+1)</f>
        <v>2017</v>
      </c>
      <c r="D996" s="674">
        <f t="shared" si="62"/>
        <v>250996.94384057971</v>
      </c>
      <c r="E996" s="730">
        <f t="shared" si="65"/>
        <v>5825.847826086957</v>
      </c>
      <c r="F996" s="674">
        <f t="shared" si="60"/>
        <v>245171.09601449277</v>
      </c>
      <c r="G996" s="1265">
        <f t="shared" si="63"/>
        <v>30873.264148262504</v>
      </c>
      <c r="H996" s="1268">
        <f t="shared" si="64"/>
        <v>30873.264148262504</v>
      </c>
      <c r="I996" s="727">
        <f t="shared" si="61"/>
        <v>0</v>
      </c>
      <c r="J996" s="727"/>
      <c r="K996" s="877"/>
      <c r="L996" s="733"/>
      <c r="M996" s="877"/>
      <c r="N996" s="733"/>
      <c r="O996" s="733"/>
    </row>
    <row r="997" spans="2:15">
      <c r="B997" s="332"/>
      <c r="C997" s="1269">
        <f>IF(D987="","-",+C996+1)</f>
        <v>2018</v>
      </c>
      <c r="D997" s="674">
        <f t="shared" si="62"/>
        <v>245171.09601449277</v>
      </c>
      <c r="E997" s="730">
        <f t="shared" si="65"/>
        <v>5825.847826086957</v>
      </c>
      <c r="F997" s="674">
        <f t="shared" si="60"/>
        <v>239345.24818840582</v>
      </c>
      <c r="G997" s="1265">
        <f t="shared" si="63"/>
        <v>30285.066504688908</v>
      </c>
      <c r="H997" s="1268">
        <f t="shared" si="64"/>
        <v>30285.066504688908</v>
      </c>
      <c r="I997" s="727">
        <f t="shared" si="61"/>
        <v>0</v>
      </c>
      <c r="J997" s="727"/>
      <c r="K997" s="877"/>
      <c r="L997" s="733"/>
      <c r="M997" s="877"/>
      <c r="N997" s="733"/>
      <c r="O997" s="733"/>
    </row>
    <row r="998" spans="2:15">
      <c r="B998" s="332"/>
      <c r="C998" s="723">
        <f>IF(D987="","-",+C997+1)</f>
        <v>2019</v>
      </c>
      <c r="D998" s="674">
        <f t="shared" si="62"/>
        <v>239345.24818840582</v>
      </c>
      <c r="E998" s="730">
        <f t="shared" si="65"/>
        <v>5825.847826086957</v>
      </c>
      <c r="F998" s="674">
        <f t="shared" si="60"/>
        <v>233519.40036231888</v>
      </c>
      <c r="G998" s="1265">
        <f t="shared" si="63"/>
        <v>29696.868861115319</v>
      </c>
      <c r="H998" s="1268">
        <f t="shared" si="64"/>
        <v>29696.868861115319</v>
      </c>
      <c r="I998" s="727">
        <f t="shared" si="61"/>
        <v>0</v>
      </c>
      <c r="J998" s="727"/>
      <c r="K998" s="877"/>
      <c r="L998" s="733"/>
      <c r="M998" s="877"/>
      <c r="N998" s="733"/>
      <c r="O998" s="733"/>
    </row>
    <row r="999" spans="2:15">
      <c r="B999" s="332"/>
      <c r="C999" s="723">
        <f>IF(D987="","-",+C998+1)</f>
        <v>2020</v>
      </c>
      <c r="D999" s="674">
        <f t="shared" si="62"/>
        <v>233519.40036231888</v>
      </c>
      <c r="E999" s="730">
        <f t="shared" si="65"/>
        <v>5825.847826086957</v>
      </c>
      <c r="F999" s="674">
        <f t="shared" si="60"/>
        <v>227693.55253623193</v>
      </c>
      <c r="G999" s="1265">
        <f t="shared" si="63"/>
        <v>29108.671217541723</v>
      </c>
      <c r="H999" s="1268">
        <f t="shared" si="64"/>
        <v>29108.671217541723</v>
      </c>
      <c r="I999" s="727">
        <f t="shared" si="61"/>
        <v>0</v>
      </c>
      <c r="J999" s="727"/>
      <c r="K999" s="877">
        <v>35555</v>
      </c>
      <c r="L999" s="733"/>
      <c r="M999" s="877">
        <v>35555</v>
      </c>
      <c r="N999" s="733"/>
      <c r="O999" s="733"/>
    </row>
    <row r="1000" spans="2:15">
      <c r="B1000" s="332"/>
      <c r="C1000" s="1293">
        <f>IF(D987="","-",+C999+1)</f>
        <v>2021</v>
      </c>
      <c r="D1000" s="1270">
        <f t="shared" si="62"/>
        <v>227693.55253623193</v>
      </c>
      <c r="E1000" s="1271">
        <f t="shared" si="65"/>
        <v>5825.847826086957</v>
      </c>
      <c r="F1000" s="1270">
        <f t="shared" si="60"/>
        <v>221867.70471014499</v>
      </c>
      <c r="G1000" s="1272">
        <f t="shared" si="63"/>
        <v>28520.473573968135</v>
      </c>
      <c r="H1000" s="1273">
        <f t="shared" si="64"/>
        <v>28520.473573968135</v>
      </c>
      <c r="I1000" s="1279">
        <f t="shared" si="61"/>
        <v>0</v>
      </c>
      <c r="J1000" s="727"/>
      <c r="K1000" s="877"/>
      <c r="L1000" s="733"/>
      <c r="M1000" s="877"/>
      <c r="N1000" s="733"/>
      <c r="O1000" s="733"/>
    </row>
    <row r="1001" spans="2:15">
      <c r="B1001" s="332"/>
      <c r="C1001" s="723">
        <f>IF(D987="","-",+C1000+1)</f>
        <v>2022</v>
      </c>
      <c r="D1001" s="674">
        <f t="shared" si="62"/>
        <v>221867.70471014499</v>
      </c>
      <c r="E1001" s="730">
        <f t="shared" si="65"/>
        <v>5825.847826086957</v>
      </c>
      <c r="F1001" s="674">
        <f t="shared" si="60"/>
        <v>216041.85688405804</v>
      </c>
      <c r="G1001" s="1265">
        <f t="shared" si="63"/>
        <v>27932.275930394539</v>
      </c>
      <c r="H1001" s="1268">
        <f t="shared" si="64"/>
        <v>27932.275930394539</v>
      </c>
      <c r="I1001" s="727">
        <f t="shared" si="61"/>
        <v>0</v>
      </c>
      <c r="J1001" s="727"/>
      <c r="K1001" s="877"/>
      <c r="L1001" s="733"/>
      <c r="M1001" s="877"/>
      <c r="N1001" s="733"/>
      <c r="O1001" s="733"/>
    </row>
    <row r="1002" spans="2:15">
      <c r="B1002" s="332"/>
      <c r="C1002" s="723">
        <f>IF(D987="","-",+C1001+1)</f>
        <v>2023</v>
      </c>
      <c r="D1002" s="674">
        <f t="shared" si="62"/>
        <v>216041.85688405804</v>
      </c>
      <c r="E1002" s="730">
        <f t="shared" si="65"/>
        <v>5825.847826086957</v>
      </c>
      <c r="F1002" s="674">
        <f t="shared" si="60"/>
        <v>210216.0090579711</v>
      </c>
      <c r="G1002" s="1265">
        <f t="shared" si="63"/>
        <v>27344.078286820946</v>
      </c>
      <c r="H1002" s="1268">
        <f t="shared" si="64"/>
        <v>27344.078286820946</v>
      </c>
      <c r="I1002" s="727">
        <f t="shared" si="61"/>
        <v>0</v>
      </c>
      <c r="J1002" s="727"/>
      <c r="K1002" s="877"/>
      <c r="L1002" s="733"/>
      <c r="M1002" s="877"/>
      <c r="N1002" s="733"/>
      <c r="O1002" s="733"/>
    </row>
    <row r="1003" spans="2:15">
      <c r="B1003" s="332"/>
      <c r="C1003" s="723">
        <f>IF(D987="","-",+C1002+1)</f>
        <v>2024</v>
      </c>
      <c r="D1003" s="674">
        <f t="shared" si="62"/>
        <v>210216.0090579711</v>
      </c>
      <c r="E1003" s="730">
        <f t="shared" si="65"/>
        <v>5825.847826086957</v>
      </c>
      <c r="F1003" s="674">
        <f t="shared" si="60"/>
        <v>204390.16123188415</v>
      </c>
      <c r="G1003" s="1265">
        <f t="shared" si="63"/>
        <v>26755.88064324735</v>
      </c>
      <c r="H1003" s="1268">
        <f t="shared" si="64"/>
        <v>26755.88064324735</v>
      </c>
      <c r="I1003" s="727">
        <f t="shared" si="61"/>
        <v>0</v>
      </c>
      <c r="J1003" s="727"/>
      <c r="K1003" s="877"/>
      <c r="L1003" s="733"/>
      <c r="M1003" s="877"/>
      <c r="N1003" s="733"/>
      <c r="O1003" s="733"/>
    </row>
    <row r="1004" spans="2:15">
      <c r="B1004" s="332"/>
      <c r="C1004" s="723">
        <f>IF(D987="","-",+C1003+1)</f>
        <v>2025</v>
      </c>
      <c r="D1004" s="674">
        <f t="shared" si="62"/>
        <v>204390.16123188415</v>
      </c>
      <c r="E1004" s="730">
        <f t="shared" si="65"/>
        <v>5825.847826086957</v>
      </c>
      <c r="F1004" s="674">
        <f t="shared" si="60"/>
        <v>198564.31340579721</v>
      </c>
      <c r="G1004" s="1265">
        <f t="shared" si="63"/>
        <v>26167.682999673762</v>
      </c>
      <c r="H1004" s="1268">
        <f t="shared" si="64"/>
        <v>26167.682999673762</v>
      </c>
      <c r="I1004" s="727">
        <f t="shared" si="61"/>
        <v>0</v>
      </c>
      <c r="J1004" s="727"/>
      <c r="K1004" s="877"/>
      <c r="L1004" s="733"/>
      <c r="M1004" s="877"/>
      <c r="N1004" s="733"/>
      <c r="O1004" s="733"/>
    </row>
    <row r="1005" spans="2:15">
      <c r="B1005" s="332"/>
      <c r="C1005" s="723">
        <f>IF(D987="","-",+C1004+1)</f>
        <v>2026</v>
      </c>
      <c r="D1005" s="674">
        <f t="shared" si="62"/>
        <v>198564.31340579721</v>
      </c>
      <c r="E1005" s="730">
        <f t="shared" si="65"/>
        <v>5825.847826086957</v>
      </c>
      <c r="F1005" s="674">
        <f t="shared" si="60"/>
        <v>192738.46557971026</v>
      </c>
      <c r="G1005" s="1265">
        <f t="shared" si="63"/>
        <v>25579.485356100166</v>
      </c>
      <c r="H1005" s="1268">
        <f t="shared" si="64"/>
        <v>25579.485356100166</v>
      </c>
      <c r="I1005" s="727">
        <f t="shared" si="61"/>
        <v>0</v>
      </c>
      <c r="J1005" s="727"/>
      <c r="K1005" s="877"/>
      <c r="L1005" s="733"/>
      <c r="M1005" s="877"/>
      <c r="N1005" s="734"/>
      <c r="O1005" s="733"/>
    </row>
    <row r="1006" spans="2:15">
      <c r="B1006" s="332"/>
      <c r="C1006" s="723">
        <f>IF(D987="","-",+C1005+1)</f>
        <v>2027</v>
      </c>
      <c r="D1006" s="674">
        <f t="shared" si="62"/>
        <v>192738.46557971026</v>
      </c>
      <c r="E1006" s="730">
        <f t="shared" si="65"/>
        <v>5825.847826086957</v>
      </c>
      <c r="F1006" s="674">
        <f t="shared" si="60"/>
        <v>186912.61775362332</v>
      </c>
      <c r="G1006" s="1265">
        <f t="shared" si="63"/>
        <v>24991.287712526577</v>
      </c>
      <c r="H1006" s="1268">
        <f t="shared" si="64"/>
        <v>24991.287712526577</v>
      </c>
      <c r="I1006" s="727">
        <f t="shared" si="61"/>
        <v>0</v>
      </c>
      <c r="J1006" s="727"/>
      <c r="K1006" s="877"/>
      <c r="L1006" s="733"/>
      <c r="M1006" s="877"/>
      <c r="N1006" s="733"/>
      <c r="O1006" s="733"/>
    </row>
    <row r="1007" spans="2:15">
      <c r="B1007" s="332"/>
      <c r="C1007" s="723">
        <f>IF(D987="","-",+C1006+1)</f>
        <v>2028</v>
      </c>
      <c r="D1007" s="674">
        <f t="shared" si="62"/>
        <v>186912.61775362332</v>
      </c>
      <c r="E1007" s="730">
        <f t="shared" si="65"/>
        <v>5825.847826086957</v>
      </c>
      <c r="F1007" s="674">
        <f t="shared" si="60"/>
        <v>181086.76992753637</v>
      </c>
      <c r="G1007" s="1265">
        <f t="shared" si="63"/>
        <v>24403.090068952981</v>
      </c>
      <c r="H1007" s="1268">
        <f t="shared" si="64"/>
        <v>24403.090068952981</v>
      </c>
      <c r="I1007" s="727">
        <f t="shared" si="61"/>
        <v>0</v>
      </c>
      <c r="J1007" s="727"/>
      <c r="K1007" s="877"/>
      <c r="L1007" s="733"/>
      <c r="M1007" s="877"/>
      <c r="N1007" s="733"/>
      <c r="O1007" s="733"/>
    </row>
    <row r="1008" spans="2:15">
      <c r="B1008" s="332"/>
      <c r="C1008" s="723">
        <f>IF(D987="","-",+C1007+1)</f>
        <v>2029</v>
      </c>
      <c r="D1008" s="674">
        <f t="shared" si="62"/>
        <v>181086.76992753637</v>
      </c>
      <c r="E1008" s="730">
        <f t="shared" si="65"/>
        <v>5825.847826086957</v>
      </c>
      <c r="F1008" s="674">
        <f t="shared" si="60"/>
        <v>175260.92210144943</v>
      </c>
      <c r="G1008" s="1265">
        <f t="shared" si="63"/>
        <v>23814.892425379388</v>
      </c>
      <c r="H1008" s="1268">
        <f t="shared" si="64"/>
        <v>23814.892425379388</v>
      </c>
      <c r="I1008" s="727">
        <f t="shared" si="61"/>
        <v>0</v>
      </c>
      <c r="J1008" s="727"/>
      <c r="K1008" s="877"/>
      <c r="L1008" s="733"/>
      <c r="M1008" s="877"/>
      <c r="N1008" s="733"/>
      <c r="O1008" s="733"/>
    </row>
    <row r="1009" spans="2:15">
      <c r="B1009" s="332"/>
      <c r="C1009" s="723">
        <f>IF(D987="","-",+C1008+1)</f>
        <v>2030</v>
      </c>
      <c r="D1009" s="674">
        <f t="shared" si="62"/>
        <v>175260.92210144943</v>
      </c>
      <c r="E1009" s="730">
        <f t="shared" si="65"/>
        <v>5825.847826086957</v>
      </c>
      <c r="F1009" s="674">
        <f t="shared" si="60"/>
        <v>169435.07427536248</v>
      </c>
      <c r="G1009" s="1265">
        <f t="shared" si="63"/>
        <v>23226.694781805792</v>
      </c>
      <c r="H1009" s="1268">
        <f t="shared" si="64"/>
        <v>23226.694781805792</v>
      </c>
      <c r="I1009" s="727">
        <f t="shared" si="61"/>
        <v>0</v>
      </c>
      <c r="J1009" s="727"/>
      <c r="K1009" s="877"/>
      <c r="L1009" s="733"/>
      <c r="M1009" s="877"/>
      <c r="N1009" s="733"/>
      <c r="O1009" s="733"/>
    </row>
    <row r="1010" spans="2:15">
      <c r="B1010" s="332"/>
      <c r="C1010" s="723">
        <f>IF(D987="","-",+C1009+1)</f>
        <v>2031</v>
      </c>
      <c r="D1010" s="674">
        <f t="shared" si="62"/>
        <v>169435.07427536248</v>
      </c>
      <c r="E1010" s="730">
        <f t="shared" si="65"/>
        <v>5825.847826086957</v>
      </c>
      <c r="F1010" s="674">
        <f t="shared" si="60"/>
        <v>163609.22644927553</v>
      </c>
      <c r="G1010" s="1265">
        <f t="shared" si="63"/>
        <v>22638.497138232204</v>
      </c>
      <c r="H1010" s="1268">
        <f t="shared" si="64"/>
        <v>22638.497138232204</v>
      </c>
      <c r="I1010" s="727">
        <f t="shared" si="61"/>
        <v>0</v>
      </c>
      <c r="J1010" s="727"/>
      <c r="K1010" s="877"/>
      <c r="L1010" s="733"/>
      <c r="M1010" s="877"/>
      <c r="N1010" s="733"/>
      <c r="O1010" s="733"/>
    </row>
    <row r="1011" spans="2:15">
      <c r="B1011" s="332"/>
      <c r="C1011" s="723">
        <f>IF(D987="","-",+C1010+1)</f>
        <v>2032</v>
      </c>
      <c r="D1011" s="674">
        <f t="shared" si="62"/>
        <v>163609.22644927553</v>
      </c>
      <c r="E1011" s="730">
        <f t="shared" si="65"/>
        <v>5825.847826086957</v>
      </c>
      <c r="F1011" s="674">
        <f t="shared" si="60"/>
        <v>157783.37862318859</v>
      </c>
      <c r="G1011" s="1265">
        <f t="shared" si="63"/>
        <v>22050.299494658608</v>
      </c>
      <c r="H1011" s="1268">
        <f t="shared" si="64"/>
        <v>22050.299494658608</v>
      </c>
      <c r="I1011" s="727">
        <f t="shared" si="61"/>
        <v>0</v>
      </c>
      <c r="J1011" s="727"/>
      <c r="K1011" s="877"/>
      <c r="L1011" s="733"/>
      <c r="M1011" s="877"/>
      <c r="N1011" s="733"/>
      <c r="O1011" s="733"/>
    </row>
    <row r="1012" spans="2:15">
      <c r="B1012" s="332"/>
      <c r="C1012" s="723">
        <f>IF(D987="","-",+C1011+1)</f>
        <v>2033</v>
      </c>
      <c r="D1012" s="674">
        <f t="shared" si="62"/>
        <v>157783.37862318859</v>
      </c>
      <c r="E1012" s="730">
        <f t="shared" si="65"/>
        <v>5825.847826086957</v>
      </c>
      <c r="F1012" s="674">
        <f t="shared" si="60"/>
        <v>151957.53079710164</v>
      </c>
      <c r="G1012" s="1265">
        <f t="shared" si="63"/>
        <v>21462.101851085019</v>
      </c>
      <c r="H1012" s="1268">
        <f t="shared" si="64"/>
        <v>21462.101851085019</v>
      </c>
      <c r="I1012" s="727">
        <f t="shared" si="61"/>
        <v>0</v>
      </c>
      <c r="J1012" s="727"/>
      <c r="K1012" s="877"/>
      <c r="L1012" s="733"/>
      <c r="M1012" s="877"/>
      <c r="N1012" s="733"/>
      <c r="O1012" s="733"/>
    </row>
    <row r="1013" spans="2:15">
      <c r="B1013" s="332"/>
      <c r="C1013" s="723">
        <f>IF(D987="","-",+C1012+1)</f>
        <v>2034</v>
      </c>
      <c r="D1013" s="674">
        <f t="shared" si="62"/>
        <v>151957.53079710164</v>
      </c>
      <c r="E1013" s="730">
        <f t="shared" si="65"/>
        <v>5825.847826086957</v>
      </c>
      <c r="F1013" s="674">
        <f t="shared" si="60"/>
        <v>146131.6829710147</v>
      </c>
      <c r="G1013" s="1265">
        <f t="shared" si="63"/>
        <v>20873.904207511423</v>
      </c>
      <c r="H1013" s="1268">
        <f t="shared" si="64"/>
        <v>20873.904207511423</v>
      </c>
      <c r="I1013" s="727">
        <f t="shared" si="61"/>
        <v>0</v>
      </c>
      <c r="J1013" s="727"/>
      <c r="K1013" s="877"/>
      <c r="L1013" s="733"/>
      <c r="M1013" s="877"/>
      <c r="N1013" s="733"/>
      <c r="O1013" s="733"/>
    </row>
    <row r="1014" spans="2:15">
      <c r="B1014" s="332"/>
      <c r="C1014" s="723">
        <f>IF(D987="","-",+C1013+1)</f>
        <v>2035</v>
      </c>
      <c r="D1014" s="674">
        <f t="shared" si="62"/>
        <v>146131.6829710147</v>
      </c>
      <c r="E1014" s="730">
        <f t="shared" si="65"/>
        <v>5825.847826086957</v>
      </c>
      <c r="F1014" s="674">
        <f t="shared" si="60"/>
        <v>140305.83514492775</v>
      </c>
      <c r="G1014" s="1265">
        <f t="shared" si="63"/>
        <v>20285.706563937834</v>
      </c>
      <c r="H1014" s="1268">
        <f t="shared" si="64"/>
        <v>20285.706563937834</v>
      </c>
      <c r="I1014" s="727">
        <f t="shared" si="61"/>
        <v>0</v>
      </c>
      <c r="J1014" s="727"/>
      <c r="K1014" s="877"/>
      <c r="L1014" s="733"/>
      <c r="M1014" s="877"/>
      <c r="N1014" s="733"/>
      <c r="O1014" s="733"/>
    </row>
    <row r="1015" spans="2:15">
      <c r="B1015" s="332"/>
      <c r="C1015" s="723">
        <f>IF(D987="","-",+C1014+1)</f>
        <v>2036</v>
      </c>
      <c r="D1015" s="674">
        <f t="shared" si="62"/>
        <v>140305.83514492775</v>
      </c>
      <c r="E1015" s="730">
        <f t="shared" si="65"/>
        <v>5825.847826086957</v>
      </c>
      <c r="F1015" s="674">
        <f t="shared" si="60"/>
        <v>134479.98731884081</v>
      </c>
      <c r="G1015" s="1265">
        <f t="shared" si="63"/>
        <v>19697.508920364238</v>
      </c>
      <c r="H1015" s="1268">
        <f t="shared" si="64"/>
        <v>19697.508920364238</v>
      </c>
      <c r="I1015" s="727">
        <f t="shared" si="61"/>
        <v>0</v>
      </c>
      <c r="J1015" s="727"/>
      <c r="K1015" s="877"/>
      <c r="L1015" s="733"/>
      <c r="M1015" s="877"/>
      <c r="N1015" s="733"/>
      <c r="O1015" s="733"/>
    </row>
    <row r="1016" spans="2:15">
      <c r="B1016" s="332"/>
      <c r="C1016" s="723">
        <f>IF(D987="","-",+C1015+1)</f>
        <v>2037</v>
      </c>
      <c r="D1016" s="674">
        <f t="shared" si="62"/>
        <v>134479.98731884081</v>
      </c>
      <c r="E1016" s="730">
        <f t="shared" si="65"/>
        <v>5825.847826086957</v>
      </c>
      <c r="F1016" s="674">
        <f t="shared" si="60"/>
        <v>128654.13949275385</v>
      </c>
      <c r="G1016" s="1265">
        <f t="shared" si="63"/>
        <v>19109.311276790646</v>
      </c>
      <c r="H1016" s="1268">
        <f t="shared" si="64"/>
        <v>19109.311276790646</v>
      </c>
      <c r="I1016" s="727">
        <f t="shared" si="61"/>
        <v>0</v>
      </c>
      <c r="J1016" s="727"/>
      <c r="K1016" s="877"/>
      <c r="L1016" s="733"/>
      <c r="M1016" s="877"/>
      <c r="N1016" s="733"/>
      <c r="O1016" s="733"/>
    </row>
    <row r="1017" spans="2:15">
      <c r="B1017" s="332"/>
      <c r="C1017" s="723">
        <f>IF(D987="","-",+C1016+1)</f>
        <v>2038</v>
      </c>
      <c r="D1017" s="674">
        <f t="shared" si="62"/>
        <v>128654.13949275385</v>
      </c>
      <c r="E1017" s="730">
        <f t="shared" si="65"/>
        <v>5825.847826086957</v>
      </c>
      <c r="F1017" s="674">
        <f t="shared" si="60"/>
        <v>122828.29166666689</v>
      </c>
      <c r="G1017" s="1265">
        <f t="shared" si="63"/>
        <v>18521.11363321705</v>
      </c>
      <c r="H1017" s="1268">
        <f t="shared" si="64"/>
        <v>18521.11363321705</v>
      </c>
      <c r="I1017" s="727">
        <f t="shared" si="61"/>
        <v>0</v>
      </c>
      <c r="J1017" s="727"/>
      <c r="K1017" s="877"/>
      <c r="L1017" s="733"/>
      <c r="M1017" s="877"/>
      <c r="N1017" s="733"/>
      <c r="O1017" s="733"/>
    </row>
    <row r="1018" spans="2:15">
      <c r="B1018" s="332"/>
      <c r="C1018" s="723">
        <f>IF(D987="","-",+C1017+1)</f>
        <v>2039</v>
      </c>
      <c r="D1018" s="674">
        <f t="shared" si="62"/>
        <v>122828.29166666689</v>
      </c>
      <c r="E1018" s="730">
        <f t="shared" si="65"/>
        <v>5825.847826086957</v>
      </c>
      <c r="F1018" s="674">
        <f t="shared" si="60"/>
        <v>117002.44384057993</v>
      </c>
      <c r="G1018" s="1265">
        <f t="shared" si="63"/>
        <v>17932.915989643458</v>
      </c>
      <c r="H1018" s="1268">
        <f t="shared" si="64"/>
        <v>17932.915989643458</v>
      </c>
      <c r="I1018" s="727">
        <f t="shared" si="61"/>
        <v>0</v>
      </c>
      <c r="J1018" s="727"/>
      <c r="K1018" s="877"/>
      <c r="L1018" s="733"/>
      <c r="M1018" s="877"/>
      <c r="N1018" s="733"/>
      <c r="O1018" s="733"/>
    </row>
    <row r="1019" spans="2:15">
      <c r="B1019" s="332"/>
      <c r="C1019" s="723">
        <f>IF(D987="","-",+C1018+1)</f>
        <v>2040</v>
      </c>
      <c r="D1019" s="674">
        <f t="shared" si="62"/>
        <v>117002.44384057993</v>
      </c>
      <c r="E1019" s="730">
        <f t="shared" si="65"/>
        <v>5825.847826086957</v>
      </c>
      <c r="F1019" s="674">
        <f t="shared" si="60"/>
        <v>111176.59601449297</v>
      </c>
      <c r="G1019" s="1265">
        <f t="shared" si="63"/>
        <v>17344.718346069862</v>
      </c>
      <c r="H1019" s="1268">
        <f t="shared" si="64"/>
        <v>17344.718346069862</v>
      </c>
      <c r="I1019" s="727">
        <f t="shared" si="61"/>
        <v>0</v>
      </c>
      <c r="J1019" s="727"/>
      <c r="K1019" s="877"/>
      <c r="L1019" s="733"/>
      <c r="M1019" s="877"/>
      <c r="N1019" s="733"/>
      <c r="O1019" s="733"/>
    </row>
    <row r="1020" spans="2:15">
      <c r="B1020" s="332"/>
      <c r="C1020" s="723">
        <f>IF(D987="","-",+C1019+1)</f>
        <v>2041</v>
      </c>
      <c r="D1020" s="674">
        <f t="shared" si="62"/>
        <v>111176.59601449297</v>
      </c>
      <c r="E1020" s="730">
        <f t="shared" si="65"/>
        <v>5825.847826086957</v>
      </c>
      <c r="F1020" s="674">
        <f t="shared" si="60"/>
        <v>105350.74818840601</v>
      </c>
      <c r="G1020" s="1265">
        <f t="shared" si="63"/>
        <v>16756.520702496266</v>
      </c>
      <c r="H1020" s="1268">
        <f t="shared" si="64"/>
        <v>16756.520702496266</v>
      </c>
      <c r="I1020" s="727">
        <f t="shared" si="61"/>
        <v>0</v>
      </c>
      <c r="J1020" s="727"/>
      <c r="K1020" s="877"/>
      <c r="L1020" s="733"/>
      <c r="M1020" s="877"/>
      <c r="N1020" s="733"/>
      <c r="O1020" s="733"/>
    </row>
    <row r="1021" spans="2:15">
      <c r="B1021" s="332"/>
      <c r="C1021" s="723">
        <f>IF(D987="","-",+C1020+1)</f>
        <v>2042</v>
      </c>
      <c r="D1021" s="674">
        <f t="shared" si="62"/>
        <v>105350.74818840601</v>
      </c>
      <c r="E1021" s="730">
        <f t="shared" si="65"/>
        <v>5825.847826086957</v>
      </c>
      <c r="F1021" s="674">
        <f t="shared" si="60"/>
        <v>99524.900362319051</v>
      </c>
      <c r="G1021" s="1274">
        <f t="shared" si="63"/>
        <v>16168.323058922673</v>
      </c>
      <c r="H1021" s="1268">
        <f t="shared" si="64"/>
        <v>16168.323058922673</v>
      </c>
      <c r="I1021" s="727">
        <f t="shared" si="61"/>
        <v>0</v>
      </c>
      <c r="J1021" s="727"/>
      <c r="K1021" s="877"/>
      <c r="L1021" s="733"/>
      <c r="M1021" s="877"/>
      <c r="N1021" s="733"/>
      <c r="O1021" s="733"/>
    </row>
    <row r="1022" spans="2:15">
      <c r="B1022" s="332"/>
      <c r="C1022" s="723">
        <f>IF(D987="","-",+C1021+1)</f>
        <v>2043</v>
      </c>
      <c r="D1022" s="674">
        <f t="shared" si="62"/>
        <v>99524.900362319051</v>
      </c>
      <c r="E1022" s="730">
        <f t="shared" si="65"/>
        <v>5825.847826086957</v>
      </c>
      <c r="F1022" s="674">
        <f t="shared" si="60"/>
        <v>93699.052536232091</v>
      </c>
      <c r="G1022" s="1265">
        <f t="shared" si="63"/>
        <v>15580.125415349077</v>
      </c>
      <c r="H1022" s="1268">
        <f t="shared" si="64"/>
        <v>15580.125415349077</v>
      </c>
      <c r="I1022" s="727">
        <f t="shared" si="61"/>
        <v>0</v>
      </c>
      <c r="J1022" s="727"/>
      <c r="K1022" s="877"/>
      <c r="L1022" s="733"/>
      <c r="M1022" s="877"/>
      <c r="N1022" s="733"/>
      <c r="O1022" s="733"/>
    </row>
    <row r="1023" spans="2:15">
      <c r="B1023" s="332"/>
      <c r="C1023" s="723">
        <f>IF(D987="","-",+C1022+1)</f>
        <v>2044</v>
      </c>
      <c r="D1023" s="674">
        <f t="shared" si="62"/>
        <v>93699.052536232091</v>
      </c>
      <c r="E1023" s="730">
        <f t="shared" si="65"/>
        <v>5825.847826086957</v>
      </c>
      <c r="F1023" s="674">
        <f t="shared" si="60"/>
        <v>87873.204710145132</v>
      </c>
      <c r="G1023" s="1265">
        <f t="shared" si="63"/>
        <v>14991.927771775485</v>
      </c>
      <c r="H1023" s="1268">
        <f t="shared" si="64"/>
        <v>14991.927771775485</v>
      </c>
      <c r="I1023" s="727">
        <f t="shared" si="61"/>
        <v>0</v>
      </c>
      <c r="J1023" s="727"/>
      <c r="K1023" s="877"/>
      <c r="L1023" s="733"/>
      <c r="M1023" s="877"/>
      <c r="N1023" s="733"/>
      <c r="O1023" s="733"/>
    </row>
    <row r="1024" spans="2:15">
      <c r="B1024" s="332"/>
      <c r="C1024" s="723">
        <f>IF(D987="","-",+C1023+1)</f>
        <v>2045</v>
      </c>
      <c r="D1024" s="674">
        <f t="shared" si="62"/>
        <v>87873.204710145132</v>
      </c>
      <c r="E1024" s="730">
        <f t="shared" si="65"/>
        <v>5825.847826086957</v>
      </c>
      <c r="F1024" s="674">
        <f t="shared" si="60"/>
        <v>82047.356884058172</v>
      </c>
      <c r="G1024" s="1265">
        <f t="shared" si="63"/>
        <v>14403.730128201889</v>
      </c>
      <c r="H1024" s="1268">
        <f t="shared" si="64"/>
        <v>14403.730128201889</v>
      </c>
      <c r="I1024" s="727">
        <f t="shared" si="61"/>
        <v>0</v>
      </c>
      <c r="J1024" s="727"/>
      <c r="K1024" s="877"/>
      <c r="L1024" s="733"/>
      <c r="M1024" s="877"/>
      <c r="N1024" s="733"/>
      <c r="O1024" s="733"/>
    </row>
    <row r="1025" spans="2:15">
      <c r="B1025" s="332"/>
      <c r="C1025" s="723">
        <f>IF(D987="","-",+C1024+1)</f>
        <v>2046</v>
      </c>
      <c r="D1025" s="674">
        <f t="shared" si="62"/>
        <v>82047.356884058172</v>
      </c>
      <c r="E1025" s="730">
        <f t="shared" si="65"/>
        <v>5825.847826086957</v>
      </c>
      <c r="F1025" s="674">
        <f t="shared" si="60"/>
        <v>76221.509057971212</v>
      </c>
      <c r="G1025" s="1265">
        <f t="shared" si="63"/>
        <v>13815.532484628297</v>
      </c>
      <c r="H1025" s="1268">
        <f t="shared" si="64"/>
        <v>13815.532484628297</v>
      </c>
      <c r="I1025" s="727">
        <f t="shared" si="61"/>
        <v>0</v>
      </c>
      <c r="J1025" s="727"/>
      <c r="K1025" s="877"/>
      <c r="L1025" s="733"/>
      <c r="M1025" s="877"/>
      <c r="N1025" s="733"/>
      <c r="O1025" s="733"/>
    </row>
    <row r="1026" spans="2:15">
      <c r="B1026" s="332"/>
      <c r="C1026" s="723">
        <f>IF(D987="","-",+C1025+1)</f>
        <v>2047</v>
      </c>
      <c r="D1026" s="674">
        <f t="shared" si="62"/>
        <v>76221.509057971212</v>
      </c>
      <c r="E1026" s="730">
        <f t="shared" si="65"/>
        <v>5825.847826086957</v>
      </c>
      <c r="F1026" s="674">
        <f t="shared" si="60"/>
        <v>70395.661231884253</v>
      </c>
      <c r="G1026" s="1265">
        <f t="shared" si="63"/>
        <v>13227.334841054701</v>
      </c>
      <c r="H1026" s="1268">
        <f t="shared" si="64"/>
        <v>13227.334841054701</v>
      </c>
      <c r="I1026" s="727">
        <f t="shared" si="61"/>
        <v>0</v>
      </c>
      <c r="J1026" s="727"/>
      <c r="K1026" s="877"/>
      <c r="L1026" s="733"/>
      <c r="M1026" s="877"/>
      <c r="N1026" s="733"/>
      <c r="O1026" s="733"/>
    </row>
    <row r="1027" spans="2:15">
      <c r="B1027" s="332"/>
      <c r="C1027" s="723">
        <f>IF(D987="","-",+C1026+1)</f>
        <v>2048</v>
      </c>
      <c r="D1027" s="674">
        <f t="shared" si="62"/>
        <v>70395.661231884253</v>
      </c>
      <c r="E1027" s="730">
        <f t="shared" si="65"/>
        <v>5825.847826086957</v>
      </c>
      <c r="F1027" s="674">
        <f t="shared" si="60"/>
        <v>64569.813405797293</v>
      </c>
      <c r="G1027" s="1265">
        <f t="shared" si="63"/>
        <v>12639.137197481108</v>
      </c>
      <c r="H1027" s="1268">
        <f t="shared" si="64"/>
        <v>12639.137197481108</v>
      </c>
      <c r="I1027" s="727">
        <f t="shared" si="61"/>
        <v>0</v>
      </c>
      <c r="J1027" s="727"/>
      <c r="K1027" s="877"/>
      <c r="L1027" s="733"/>
      <c r="M1027" s="877"/>
      <c r="N1027" s="733"/>
      <c r="O1027" s="733"/>
    </row>
    <row r="1028" spans="2:15">
      <c r="B1028" s="332"/>
      <c r="C1028" s="723">
        <f>IF(D987="","-",+C1027+1)</f>
        <v>2049</v>
      </c>
      <c r="D1028" s="674">
        <f t="shared" si="62"/>
        <v>64569.813405797293</v>
      </c>
      <c r="E1028" s="730">
        <f t="shared" si="65"/>
        <v>5825.847826086957</v>
      </c>
      <c r="F1028" s="674">
        <f t="shared" si="60"/>
        <v>58743.965579710333</v>
      </c>
      <c r="G1028" s="1265">
        <f t="shared" si="63"/>
        <v>12050.939553907512</v>
      </c>
      <c r="H1028" s="1268">
        <f t="shared" si="64"/>
        <v>12050.939553907512</v>
      </c>
      <c r="I1028" s="727">
        <f t="shared" si="61"/>
        <v>0</v>
      </c>
      <c r="J1028" s="727"/>
      <c r="K1028" s="877"/>
      <c r="L1028" s="733"/>
      <c r="M1028" s="877"/>
      <c r="N1028" s="733"/>
      <c r="O1028" s="733"/>
    </row>
    <row r="1029" spans="2:15">
      <c r="B1029" s="332"/>
      <c r="C1029" s="723">
        <f>IF(D987="","-",+C1028+1)</f>
        <v>2050</v>
      </c>
      <c r="D1029" s="674">
        <f t="shared" si="62"/>
        <v>58743.965579710333</v>
      </c>
      <c r="E1029" s="730">
        <f t="shared" si="65"/>
        <v>5825.847826086957</v>
      </c>
      <c r="F1029" s="674">
        <f t="shared" si="60"/>
        <v>52918.117753623374</v>
      </c>
      <c r="G1029" s="1265">
        <f t="shared" si="63"/>
        <v>11462.74191033392</v>
      </c>
      <c r="H1029" s="1268">
        <f t="shared" si="64"/>
        <v>11462.74191033392</v>
      </c>
      <c r="I1029" s="727">
        <f t="shared" si="61"/>
        <v>0</v>
      </c>
      <c r="J1029" s="727"/>
      <c r="K1029" s="877"/>
      <c r="L1029" s="733"/>
      <c r="M1029" s="877"/>
      <c r="N1029" s="733"/>
      <c r="O1029" s="733"/>
    </row>
    <row r="1030" spans="2:15">
      <c r="B1030" s="332"/>
      <c r="C1030" s="723">
        <f>IF(D987="","-",+C1029+1)</f>
        <v>2051</v>
      </c>
      <c r="D1030" s="674">
        <f t="shared" si="62"/>
        <v>52918.117753623374</v>
      </c>
      <c r="E1030" s="730">
        <f t="shared" si="65"/>
        <v>5825.847826086957</v>
      </c>
      <c r="F1030" s="674">
        <f t="shared" si="60"/>
        <v>47092.269927536414</v>
      </c>
      <c r="G1030" s="1265">
        <f t="shared" si="63"/>
        <v>10874.544266760324</v>
      </c>
      <c r="H1030" s="1268">
        <f t="shared" si="64"/>
        <v>10874.544266760324</v>
      </c>
      <c r="I1030" s="727">
        <f t="shared" si="61"/>
        <v>0</v>
      </c>
      <c r="J1030" s="727"/>
      <c r="K1030" s="877"/>
      <c r="L1030" s="733"/>
      <c r="M1030" s="877"/>
      <c r="N1030" s="733"/>
      <c r="O1030" s="733"/>
    </row>
    <row r="1031" spans="2:15">
      <c r="B1031" s="332"/>
      <c r="C1031" s="723">
        <f>IF(D987="","-",+C1030+1)</f>
        <v>2052</v>
      </c>
      <c r="D1031" s="674">
        <f t="shared" si="62"/>
        <v>47092.269927536414</v>
      </c>
      <c r="E1031" s="730">
        <f t="shared" si="65"/>
        <v>5825.847826086957</v>
      </c>
      <c r="F1031" s="674">
        <f t="shared" si="60"/>
        <v>41266.422101449454</v>
      </c>
      <c r="G1031" s="1265">
        <f t="shared" si="63"/>
        <v>10286.34662318673</v>
      </c>
      <c r="H1031" s="1268">
        <f t="shared" si="64"/>
        <v>10286.34662318673</v>
      </c>
      <c r="I1031" s="727">
        <f t="shared" si="61"/>
        <v>0</v>
      </c>
      <c r="J1031" s="727"/>
      <c r="K1031" s="877"/>
      <c r="L1031" s="733"/>
      <c r="M1031" s="877"/>
      <c r="N1031" s="733"/>
      <c r="O1031" s="733"/>
    </row>
    <row r="1032" spans="2:15">
      <c r="B1032" s="332"/>
      <c r="C1032" s="723">
        <f>IF(D987="","-",+C1031+1)</f>
        <v>2053</v>
      </c>
      <c r="D1032" s="674">
        <f t="shared" si="62"/>
        <v>41266.422101449454</v>
      </c>
      <c r="E1032" s="730">
        <f t="shared" si="65"/>
        <v>5825.847826086957</v>
      </c>
      <c r="F1032" s="674">
        <f t="shared" si="60"/>
        <v>35440.574275362495</v>
      </c>
      <c r="G1032" s="1265">
        <f t="shared" si="63"/>
        <v>9698.1489796131355</v>
      </c>
      <c r="H1032" s="1268">
        <f t="shared" si="64"/>
        <v>9698.1489796131355</v>
      </c>
      <c r="I1032" s="727">
        <f t="shared" si="61"/>
        <v>0</v>
      </c>
      <c r="J1032" s="727"/>
      <c r="K1032" s="877"/>
      <c r="L1032" s="733"/>
      <c r="M1032" s="877"/>
      <c r="N1032" s="733"/>
      <c r="O1032" s="733"/>
    </row>
    <row r="1033" spans="2:15">
      <c r="B1033" s="332"/>
      <c r="C1033" s="723">
        <f>IF(D987="","-",+C1032+1)</f>
        <v>2054</v>
      </c>
      <c r="D1033" s="674">
        <f t="shared" si="62"/>
        <v>35440.574275362495</v>
      </c>
      <c r="E1033" s="730">
        <f t="shared" si="65"/>
        <v>5825.847826086957</v>
      </c>
      <c r="F1033" s="674">
        <f t="shared" si="60"/>
        <v>29614.726449275538</v>
      </c>
      <c r="G1033" s="1265">
        <f t="shared" si="63"/>
        <v>9109.9513360395413</v>
      </c>
      <c r="H1033" s="1268">
        <f t="shared" si="64"/>
        <v>9109.9513360395413</v>
      </c>
      <c r="I1033" s="727">
        <f t="shared" si="61"/>
        <v>0</v>
      </c>
      <c r="J1033" s="727"/>
      <c r="K1033" s="877"/>
      <c r="L1033" s="733"/>
      <c r="M1033" s="877"/>
      <c r="N1033" s="733"/>
      <c r="O1033" s="733"/>
    </row>
    <row r="1034" spans="2:15">
      <c r="B1034" s="332"/>
      <c r="C1034" s="723">
        <f>IF(D987="","-",+C1033+1)</f>
        <v>2055</v>
      </c>
      <c r="D1034" s="674">
        <f t="shared" si="62"/>
        <v>29614.726449275538</v>
      </c>
      <c r="E1034" s="730">
        <f t="shared" si="65"/>
        <v>5825.847826086957</v>
      </c>
      <c r="F1034" s="674">
        <f t="shared" si="60"/>
        <v>23788.878623188582</v>
      </c>
      <c r="G1034" s="1265">
        <f t="shared" si="63"/>
        <v>8521.7536924659471</v>
      </c>
      <c r="H1034" s="1268">
        <f t="shared" si="64"/>
        <v>8521.7536924659471</v>
      </c>
      <c r="I1034" s="727">
        <f t="shared" si="61"/>
        <v>0</v>
      </c>
      <c r="J1034" s="727"/>
      <c r="K1034" s="877"/>
      <c r="L1034" s="733"/>
      <c r="M1034" s="877"/>
      <c r="N1034" s="733"/>
      <c r="O1034" s="733"/>
    </row>
    <row r="1035" spans="2:15">
      <c r="B1035" s="332"/>
      <c r="C1035" s="723">
        <f>IF(D987="","-",+C1034+1)</f>
        <v>2056</v>
      </c>
      <c r="D1035" s="674">
        <f t="shared" si="62"/>
        <v>23788.878623188582</v>
      </c>
      <c r="E1035" s="730">
        <f t="shared" si="65"/>
        <v>5825.847826086957</v>
      </c>
      <c r="F1035" s="674">
        <f t="shared" si="60"/>
        <v>17963.030797101626</v>
      </c>
      <c r="G1035" s="1265">
        <f t="shared" si="63"/>
        <v>7933.5560488923529</v>
      </c>
      <c r="H1035" s="1268">
        <f t="shared" si="64"/>
        <v>7933.5560488923529</v>
      </c>
      <c r="I1035" s="727">
        <f t="shared" si="61"/>
        <v>0</v>
      </c>
      <c r="J1035" s="727"/>
      <c r="K1035" s="877"/>
      <c r="L1035" s="733"/>
      <c r="M1035" s="877"/>
      <c r="N1035" s="733"/>
      <c r="O1035" s="733"/>
    </row>
    <row r="1036" spans="2:15">
      <c r="B1036" s="332"/>
      <c r="C1036" s="723">
        <f>IF(D987="","-",+C1035+1)</f>
        <v>2057</v>
      </c>
      <c r="D1036" s="674">
        <f t="shared" si="62"/>
        <v>17963.030797101626</v>
      </c>
      <c r="E1036" s="730">
        <f t="shared" si="65"/>
        <v>5825.847826086957</v>
      </c>
      <c r="F1036" s="674">
        <f t="shared" si="60"/>
        <v>12137.18297101467</v>
      </c>
      <c r="G1036" s="1265">
        <f t="shared" si="63"/>
        <v>7345.3584053187597</v>
      </c>
      <c r="H1036" s="1268">
        <f t="shared" si="64"/>
        <v>7345.3584053187597</v>
      </c>
      <c r="I1036" s="727">
        <f t="shared" si="61"/>
        <v>0</v>
      </c>
      <c r="J1036" s="727"/>
      <c r="K1036" s="877"/>
      <c r="L1036" s="733"/>
      <c r="M1036" s="877"/>
      <c r="N1036" s="733"/>
      <c r="O1036" s="733"/>
    </row>
    <row r="1037" spans="2:15">
      <c r="B1037" s="332"/>
      <c r="C1037" s="723">
        <f>IF(D987="","-",+C1036+1)</f>
        <v>2058</v>
      </c>
      <c r="D1037" s="674">
        <f t="shared" si="62"/>
        <v>12137.18297101467</v>
      </c>
      <c r="E1037" s="730">
        <f t="shared" si="65"/>
        <v>5825.847826086957</v>
      </c>
      <c r="F1037" s="674">
        <f t="shared" si="60"/>
        <v>6311.3351449277134</v>
      </c>
      <c r="G1037" s="1265">
        <f t="shared" si="63"/>
        <v>6757.1607617451655</v>
      </c>
      <c r="H1037" s="1268">
        <f t="shared" si="64"/>
        <v>6757.1607617451655</v>
      </c>
      <c r="I1037" s="727">
        <f t="shared" si="61"/>
        <v>0</v>
      </c>
      <c r="J1037" s="727"/>
      <c r="K1037" s="877"/>
      <c r="L1037" s="733"/>
      <c r="M1037" s="877"/>
      <c r="N1037" s="733"/>
      <c r="O1037" s="733"/>
    </row>
    <row r="1038" spans="2:15">
      <c r="B1038" s="332"/>
      <c r="C1038" s="723">
        <f>IF(D987="","-",+C1037+1)</f>
        <v>2059</v>
      </c>
      <c r="D1038" s="674">
        <f t="shared" si="62"/>
        <v>6311.3351449277134</v>
      </c>
      <c r="E1038" s="730">
        <f t="shared" si="65"/>
        <v>5825.847826086957</v>
      </c>
      <c r="F1038" s="674">
        <f t="shared" si="60"/>
        <v>485.48731884075642</v>
      </c>
      <c r="G1038" s="1265">
        <f t="shared" si="63"/>
        <v>6168.9631181715713</v>
      </c>
      <c r="H1038" s="1268">
        <f t="shared" si="64"/>
        <v>6168.9631181715713</v>
      </c>
      <c r="I1038" s="727">
        <f t="shared" si="61"/>
        <v>0</v>
      </c>
      <c r="J1038" s="727"/>
      <c r="K1038" s="877"/>
      <c r="L1038" s="733"/>
      <c r="M1038" s="877"/>
      <c r="N1038" s="733"/>
      <c r="O1038" s="733"/>
    </row>
    <row r="1039" spans="2:15">
      <c r="B1039" s="332"/>
      <c r="C1039" s="723">
        <f>IF(D987="","-",+C1038+1)</f>
        <v>2060</v>
      </c>
      <c r="D1039" s="674">
        <f t="shared" si="62"/>
        <v>485.48731884075642</v>
      </c>
      <c r="E1039" s="730">
        <f t="shared" si="65"/>
        <v>485.48731884075642</v>
      </c>
      <c r="F1039" s="674">
        <f t="shared" si="60"/>
        <v>0</v>
      </c>
      <c r="G1039" s="1265">
        <f t="shared" si="63"/>
        <v>509.9955539896651</v>
      </c>
      <c r="H1039" s="1268">
        <f t="shared" si="64"/>
        <v>509.9955539896651</v>
      </c>
      <c r="I1039" s="727">
        <f t="shared" si="61"/>
        <v>0</v>
      </c>
      <c r="J1039" s="727"/>
      <c r="K1039" s="877"/>
      <c r="L1039" s="733"/>
      <c r="M1039" s="877"/>
      <c r="N1039" s="733"/>
      <c r="O1039" s="733"/>
    </row>
    <row r="1040" spans="2:15">
      <c r="B1040" s="332"/>
      <c r="C1040" s="723">
        <f>IF(D987="","-",+C1039+1)</f>
        <v>2061</v>
      </c>
      <c r="D1040" s="674">
        <f t="shared" si="62"/>
        <v>0</v>
      </c>
      <c r="E1040" s="730">
        <f t="shared" si="65"/>
        <v>0</v>
      </c>
      <c r="F1040" s="674">
        <f t="shared" si="60"/>
        <v>0</v>
      </c>
      <c r="G1040" s="1265">
        <f t="shared" si="63"/>
        <v>0</v>
      </c>
      <c r="H1040" s="1268">
        <f t="shared" si="64"/>
        <v>0</v>
      </c>
      <c r="I1040" s="727">
        <f t="shared" si="61"/>
        <v>0</v>
      </c>
      <c r="J1040" s="727"/>
      <c r="K1040" s="877"/>
      <c r="L1040" s="733"/>
      <c r="M1040" s="877"/>
      <c r="N1040" s="733"/>
      <c r="O1040" s="733"/>
    </row>
    <row r="1041" spans="2:15">
      <c r="B1041" s="332"/>
      <c r="C1041" s="723">
        <f>IF(D987="","-",+C1040+1)</f>
        <v>2062</v>
      </c>
      <c r="D1041" s="674">
        <f t="shared" si="62"/>
        <v>0</v>
      </c>
      <c r="E1041" s="730">
        <f t="shared" si="65"/>
        <v>0</v>
      </c>
      <c r="F1041" s="674">
        <f t="shared" si="60"/>
        <v>0</v>
      </c>
      <c r="G1041" s="1265">
        <f t="shared" si="63"/>
        <v>0</v>
      </c>
      <c r="H1041" s="1268">
        <f t="shared" si="64"/>
        <v>0</v>
      </c>
      <c r="I1041" s="727">
        <f t="shared" si="61"/>
        <v>0</v>
      </c>
      <c r="J1041" s="727"/>
      <c r="K1041" s="877"/>
      <c r="L1041" s="733"/>
      <c r="M1041" s="877"/>
      <c r="N1041" s="733"/>
      <c r="O1041" s="733"/>
    </row>
    <row r="1042" spans="2:15">
      <c r="B1042" s="332"/>
      <c r="C1042" s="723">
        <f>IF(D987="","-",+C1041+1)</f>
        <v>2063</v>
      </c>
      <c r="D1042" s="674">
        <f t="shared" si="62"/>
        <v>0</v>
      </c>
      <c r="E1042" s="730">
        <f t="shared" si="65"/>
        <v>0</v>
      </c>
      <c r="F1042" s="674">
        <f t="shared" si="60"/>
        <v>0</v>
      </c>
      <c r="G1042" s="1265">
        <f t="shared" si="63"/>
        <v>0</v>
      </c>
      <c r="H1042" s="1268">
        <f t="shared" si="64"/>
        <v>0</v>
      </c>
      <c r="I1042" s="727">
        <f t="shared" si="61"/>
        <v>0</v>
      </c>
      <c r="J1042" s="727"/>
      <c r="K1042" s="877"/>
      <c r="L1042" s="733"/>
      <c r="M1042" s="877"/>
      <c r="N1042" s="733"/>
      <c r="O1042" s="733"/>
    </row>
    <row r="1043" spans="2:15">
      <c r="B1043" s="332"/>
      <c r="C1043" s="723">
        <f>IF(D987="","-",+C1042+1)</f>
        <v>2064</v>
      </c>
      <c r="D1043" s="674">
        <f t="shared" si="62"/>
        <v>0</v>
      </c>
      <c r="E1043" s="730">
        <f t="shared" si="65"/>
        <v>0</v>
      </c>
      <c r="F1043" s="674">
        <f t="shared" si="60"/>
        <v>0</v>
      </c>
      <c r="G1043" s="1265">
        <f t="shared" si="63"/>
        <v>0</v>
      </c>
      <c r="H1043" s="1268">
        <f t="shared" si="64"/>
        <v>0</v>
      </c>
      <c r="I1043" s="727">
        <f t="shared" si="61"/>
        <v>0</v>
      </c>
      <c r="J1043" s="727"/>
      <c r="K1043" s="877"/>
      <c r="L1043" s="733"/>
      <c r="M1043" s="877"/>
      <c r="N1043" s="733"/>
      <c r="O1043" s="733"/>
    </row>
    <row r="1044" spans="2:15">
      <c r="B1044" s="332"/>
      <c r="C1044" s="723">
        <f>IF(D987="","-",+C1043+1)</f>
        <v>2065</v>
      </c>
      <c r="D1044" s="674">
        <f t="shared" si="62"/>
        <v>0</v>
      </c>
      <c r="E1044" s="730">
        <f t="shared" si="65"/>
        <v>0</v>
      </c>
      <c r="F1044" s="674">
        <f t="shared" si="60"/>
        <v>0</v>
      </c>
      <c r="G1044" s="1265">
        <f t="shared" si="63"/>
        <v>0</v>
      </c>
      <c r="H1044" s="1268">
        <f t="shared" si="64"/>
        <v>0</v>
      </c>
      <c r="I1044" s="727">
        <f t="shared" si="61"/>
        <v>0</v>
      </c>
      <c r="J1044" s="727"/>
      <c r="K1044" s="877"/>
      <c r="L1044" s="733"/>
      <c r="M1044" s="877"/>
      <c r="N1044" s="733"/>
      <c r="O1044" s="733"/>
    </row>
    <row r="1045" spans="2:15">
      <c r="B1045" s="332"/>
      <c r="C1045" s="723">
        <f>IF(D987="","-",+C1044+1)</f>
        <v>2066</v>
      </c>
      <c r="D1045" s="674">
        <f t="shared" si="62"/>
        <v>0</v>
      </c>
      <c r="E1045" s="730">
        <f t="shared" si="65"/>
        <v>0</v>
      </c>
      <c r="F1045" s="674">
        <f t="shared" si="60"/>
        <v>0</v>
      </c>
      <c r="G1045" s="1265">
        <f t="shared" si="63"/>
        <v>0</v>
      </c>
      <c r="H1045" s="1268">
        <f t="shared" si="64"/>
        <v>0</v>
      </c>
      <c r="I1045" s="727">
        <f t="shared" si="61"/>
        <v>0</v>
      </c>
      <c r="J1045" s="727"/>
      <c r="K1045" s="877"/>
      <c r="L1045" s="733"/>
      <c r="M1045" s="877"/>
      <c r="N1045" s="733"/>
      <c r="O1045" s="733"/>
    </row>
    <row r="1046" spans="2:15">
      <c r="B1046" s="332"/>
      <c r="C1046" s="723">
        <f>IF(D987="","-",+C1045+1)</f>
        <v>2067</v>
      </c>
      <c r="D1046" s="674">
        <f t="shared" si="62"/>
        <v>0</v>
      </c>
      <c r="E1046" s="730">
        <f t="shared" si="65"/>
        <v>0</v>
      </c>
      <c r="F1046" s="674">
        <f t="shared" si="60"/>
        <v>0</v>
      </c>
      <c r="G1046" s="1265">
        <f t="shared" si="63"/>
        <v>0</v>
      </c>
      <c r="H1046" s="1268">
        <f t="shared" si="64"/>
        <v>0</v>
      </c>
      <c r="I1046" s="727">
        <f t="shared" si="61"/>
        <v>0</v>
      </c>
      <c r="J1046" s="727"/>
      <c r="K1046" s="877"/>
      <c r="L1046" s="733"/>
      <c r="M1046" s="877"/>
      <c r="N1046" s="733"/>
      <c r="O1046" s="733"/>
    </row>
    <row r="1047" spans="2:15">
      <c r="B1047" s="332"/>
      <c r="C1047" s="723">
        <f>IF(D987="","-",+C1046+1)</f>
        <v>2068</v>
      </c>
      <c r="D1047" s="674">
        <f t="shared" si="62"/>
        <v>0</v>
      </c>
      <c r="E1047" s="730">
        <f t="shared" si="65"/>
        <v>0</v>
      </c>
      <c r="F1047" s="674">
        <f t="shared" si="60"/>
        <v>0</v>
      </c>
      <c r="G1047" s="1265">
        <f t="shared" si="63"/>
        <v>0</v>
      </c>
      <c r="H1047" s="1268">
        <f t="shared" si="64"/>
        <v>0</v>
      </c>
      <c r="I1047" s="727">
        <f t="shared" si="61"/>
        <v>0</v>
      </c>
      <c r="J1047" s="727"/>
      <c r="K1047" s="877"/>
      <c r="L1047" s="733"/>
      <c r="M1047" s="877"/>
      <c r="N1047" s="733"/>
      <c r="O1047" s="733"/>
    </row>
    <row r="1048" spans="2:15">
      <c r="B1048" s="332"/>
      <c r="C1048" s="723">
        <f>IF(D987="","-",+C1047+1)</f>
        <v>2069</v>
      </c>
      <c r="D1048" s="674">
        <f t="shared" si="62"/>
        <v>0</v>
      </c>
      <c r="E1048" s="730">
        <f t="shared" si="65"/>
        <v>0</v>
      </c>
      <c r="F1048" s="674">
        <f t="shared" si="60"/>
        <v>0</v>
      </c>
      <c r="G1048" s="1265">
        <f t="shared" si="63"/>
        <v>0</v>
      </c>
      <c r="H1048" s="1268">
        <f t="shared" si="64"/>
        <v>0</v>
      </c>
      <c r="I1048" s="727">
        <f t="shared" si="61"/>
        <v>0</v>
      </c>
      <c r="J1048" s="727"/>
      <c r="K1048" s="877"/>
      <c r="L1048" s="733"/>
      <c r="M1048" s="877"/>
      <c r="N1048" s="733"/>
      <c r="O1048" s="733"/>
    </row>
    <row r="1049" spans="2:15">
      <c r="B1049" s="332"/>
      <c r="C1049" s="723">
        <f>IF(D987="","-",+C1048+1)</f>
        <v>2070</v>
      </c>
      <c r="D1049" s="674">
        <f t="shared" si="62"/>
        <v>0</v>
      </c>
      <c r="E1049" s="730">
        <f t="shared" si="65"/>
        <v>0</v>
      </c>
      <c r="F1049" s="674">
        <f t="shared" si="60"/>
        <v>0</v>
      </c>
      <c r="G1049" s="1265">
        <f t="shared" si="63"/>
        <v>0</v>
      </c>
      <c r="H1049" s="1268">
        <f t="shared" si="64"/>
        <v>0</v>
      </c>
      <c r="I1049" s="727">
        <f t="shared" si="61"/>
        <v>0</v>
      </c>
      <c r="J1049" s="727"/>
      <c r="K1049" s="877"/>
      <c r="L1049" s="733"/>
      <c r="M1049" s="877"/>
      <c r="N1049" s="733"/>
      <c r="O1049" s="733"/>
    </row>
    <row r="1050" spans="2:15">
      <c r="B1050" s="332"/>
      <c r="C1050" s="723">
        <f>IF(D987="","-",+C1049+1)</f>
        <v>2071</v>
      </c>
      <c r="D1050" s="674">
        <f t="shared" si="62"/>
        <v>0</v>
      </c>
      <c r="E1050" s="730">
        <f t="shared" si="65"/>
        <v>0</v>
      </c>
      <c r="F1050" s="674">
        <f t="shared" si="60"/>
        <v>0</v>
      </c>
      <c r="G1050" s="1265">
        <f t="shared" si="63"/>
        <v>0</v>
      </c>
      <c r="H1050" s="1268">
        <f t="shared" si="64"/>
        <v>0</v>
      </c>
      <c r="I1050" s="727">
        <f t="shared" si="61"/>
        <v>0</v>
      </c>
      <c r="J1050" s="727"/>
      <c r="K1050" s="877"/>
      <c r="L1050" s="733"/>
      <c r="M1050" s="877"/>
      <c r="N1050" s="733"/>
      <c r="O1050" s="733"/>
    </row>
    <row r="1051" spans="2:15">
      <c r="B1051" s="332"/>
      <c r="C1051" s="723">
        <f>IF(D987="","-",+C1050+1)</f>
        <v>2072</v>
      </c>
      <c r="D1051" s="674">
        <f t="shared" si="62"/>
        <v>0</v>
      </c>
      <c r="E1051" s="730">
        <f t="shared" si="65"/>
        <v>0</v>
      </c>
      <c r="F1051" s="674">
        <f t="shared" si="60"/>
        <v>0</v>
      </c>
      <c r="G1051" s="1265">
        <f t="shared" si="63"/>
        <v>0</v>
      </c>
      <c r="H1051" s="1268">
        <f t="shared" si="64"/>
        <v>0</v>
      </c>
      <c r="I1051" s="727">
        <f t="shared" si="61"/>
        <v>0</v>
      </c>
      <c r="J1051" s="727"/>
      <c r="K1051" s="877"/>
      <c r="L1051" s="733"/>
      <c r="M1051" s="877"/>
      <c r="N1051" s="733"/>
      <c r="O1051" s="733"/>
    </row>
    <row r="1052" spans="2:15" ht="13.5" thickBot="1">
      <c r="B1052" s="332"/>
      <c r="C1052" s="735">
        <f>IF(D987="","-",+C1051+1)</f>
        <v>2073</v>
      </c>
      <c r="D1052" s="736">
        <f t="shared" si="62"/>
        <v>0</v>
      </c>
      <c r="E1052" s="737">
        <f t="shared" si="65"/>
        <v>0</v>
      </c>
      <c r="F1052" s="736">
        <f t="shared" si="60"/>
        <v>0</v>
      </c>
      <c r="G1052" s="1275">
        <f t="shared" si="63"/>
        <v>0</v>
      </c>
      <c r="H1052" s="1275">
        <f t="shared" si="64"/>
        <v>0</v>
      </c>
      <c r="I1052" s="739">
        <f t="shared" si="61"/>
        <v>0</v>
      </c>
      <c r="J1052" s="727"/>
      <c r="K1052" s="878"/>
      <c r="L1052" s="741"/>
      <c r="M1052" s="878"/>
      <c r="N1052" s="741"/>
      <c r="O1052" s="741"/>
    </row>
    <row r="1053" spans="2:15">
      <c r="B1053" s="332"/>
      <c r="C1053" s="674" t="s">
        <v>288</v>
      </c>
      <c r="D1053" s="1246"/>
      <c r="E1053" s="1246">
        <f>SUM(E993:E1052)</f>
        <v>267988.99999999994</v>
      </c>
      <c r="F1053" s="1246"/>
      <c r="G1053" s="1246">
        <f>SUM(G993:G1052)</f>
        <v>892556.8645345621</v>
      </c>
      <c r="H1053" s="1246">
        <f>SUM(H993:H1052)</f>
        <v>892556.8645345621</v>
      </c>
      <c r="I1053" s="1246">
        <f>SUM(I993:I1052)</f>
        <v>0</v>
      </c>
      <c r="J1053" s="1246"/>
      <c r="K1053" s="1246"/>
      <c r="L1053" s="1246"/>
      <c r="M1053" s="1246"/>
      <c r="N1053" s="1246"/>
      <c r="O1053" s="541"/>
    </row>
    <row r="1054" spans="2:15">
      <c r="B1054" s="332"/>
      <c r="D1054" s="564"/>
      <c r="E1054" s="541"/>
      <c r="F1054" s="541"/>
      <c r="G1054" s="541"/>
      <c r="H1054" s="1245"/>
      <c r="I1054" s="1245"/>
      <c r="J1054" s="1246"/>
      <c r="K1054" s="1245"/>
      <c r="L1054" s="1245"/>
      <c r="M1054" s="1245"/>
      <c r="N1054" s="1245"/>
      <c r="O1054" s="541"/>
    </row>
    <row r="1055" spans="2:15">
      <c r="B1055" s="332"/>
      <c r="C1055" s="541" t="s">
        <v>601</v>
      </c>
      <c r="D1055" s="564"/>
      <c r="E1055" s="541"/>
      <c r="F1055" s="541"/>
      <c r="G1055" s="541"/>
      <c r="H1055" s="1245"/>
      <c r="I1055" s="1245"/>
      <c r="J1055" s="1246"/>
      <c r="K1055" s="1245"/>
      <c r="L1055" s="1245"/>
      <c r="M1055" s="1245"/>
      <c r="N1055" s="1245"/>
      <c r="O1055" s="541"/>
    </row>
    <row r="1056" spans="2:15">
      <c r="B1056" s="332"/>
      <c r="D1056" s="564"/>
      <c r="E1056" s="541"/>
      <c r="F1056" s="541"/>
      <c r="G1056" s="541"/>
      <c r="H1056" s="1245"/>
      <c r="I1056" s="1245"/>
      <c r="J1056" s="1246"/>
      <c r="K1056" s="1245"/>
      <c r="L1056" s="1245"/>
      <c r="M1056" s="1245"/>
      <c r="N1056" s="1245"/>
      <c r="O1056" s="541"/>
    </row>
    <row r="1057" spans="1:16">
      <c r="B1057" s="332"/>
      <c r="C1057" s="577" t="s">
        <v>602</v>
      </c>
      <c r="D1057" s="674"/>
      <c r="E1057" s="674"/>
      <c r="F1057" s="674"/>
      <c r="G1057" s="1246"/>
      <c r="H1057" s="1246"/>
      <c r="I1057" s="675"/>
      <c r="J1057" s="675"/>
      <c r="K1057" s="675"/>
      <c r="L1057" s="675"/>
      <c r="M1057" s="675"/>
      <c r="N1057" s="675"/>
      <c r="O1057" s="541"/>
    </row>
    <row r="1058" spans="1:16">
      <c r="B1058" s="332"/>
      <c r="C1058" s="577" t="s">
        <v>476</v>
      </c>
      <c r="D1058" s="674"/>
      <c r="E1058" s="674"/>
      <c r="F1058" s="674"/>
      <c r="G1058" s="1246"/>
      <c r="H1058" s="1246"/>
      <c r="I1058" s="675"/>
      <c r="J1058" s="675"/>
      <c r="K1058" s="675"/>
      <c r="L1058" s="675"/>
      <c r="M1058" s="675"/>
      <c r="N1058" s="675"/>
      <c r="O1058" s="541"/>
    </row>
    <row r="1059" spans="1:16">
      <c r="B1059" s="332"/>
      <c r="C1059" s="577" t="s">
        <v>289</v>
      </c>
      <c r="D1059" s="674"/>
      <c r="E1059" s="674"/>
      <c r="F1059" s="674"/>
      <c r="G1059" s="1246"/>
      <c r="H1059" s="1246"/>
      <c r="I1059" s="675"/>
      <c r="J1059" s="675"/>
      <c r="K1059" s="675"/>
      <c r="L1059" s="675"/>
      <c r="M1059" s="675"/>
      <c r="N1059" s="675"/>
      <c r="O1059" s="541"/>
    </row>
    <row r="1060" spans="1:16">
      <c r="B1060" s="332"/>
      <c r="C1060" s="673"/>
      <c r="D1060" s="674"/>
      <c r="E1060" s="674"/>
      <c r="F1060" s="674"/>
      <c r="G1060" s="1246"/>
      <c r="H1060" s="1246"/>
      <c r="I1060" s="675"/>
      <c r="J1060" s="675"/>
      <c r="K1060" s="675"/>
      <c r="L1060" s="675"/>
      <c r="M1060" s="675"/>
      <c r="N1060" s="675"/>
      <c r="O1060" s="541"/>
    </row>
    <row r="1061" spans="1:16">
      <c r="B1061" s="332"/>
      <c r="C1061" s="1543" t="s">
        <v>460</v>
      </c>
      <c r="D1061" s="1543"/>
      <c r="E1061" s="1543"/>
      <c r="F1061" s="1543"/>
      <c r="G1061" s="1543"/>
      <c r="H1061" s="1543"/>
      <c r="I1061" s="1543"/>
      <c r="J1061" s="1543"/>
      <c r="K1061" s="1543"/>
      <c r="L1061" s="1543"/>
      <c r="M1061" s="1543"/>
      <c r="N1061" s="1543"/>
      <c r="O1061" s="1543"/>
    </row>
    <row r="1062" spans="1:16">
      <c r="B1062" s="332"/>
      <c r="C1062" s="1543"/>
      <c r="D1062" s="1543"/>
      <c r="E1062" s="1543"/>
      <c r="F1062" s="1543"/>
      <c r="G1062" s="1543"/>
      <c r="H1062" s="1543"/>
      <c r="I1062" s="1543"/>
      <c r="J1062" s="1543"/>
      <c r="K1062" s="1543"/>
      <c r="L1062" s="1543"/>
      <c r="M1062" s="1543"/>
      <c r="N1062" s="1543"/>
      <c r="O1062" s="1543"/>
    </row>
    <row r="1063" spans="1:16" ht="20.25">
      <c r="A1063" s="676" t="s">
        <v>972</v>
      </c>
      <c r="B1063" s="541"/>
      <c r="C1063" s="656"/>
      <c r="D1063" s="564"/>
      <c r="E1063" s="541"/>
      <c r="F1063" s="646"/>
      <c r="G1063" s="541"/>
      <c r="H1063" s="1245"/>
      <c r="K1063" s="677"/>
      <c r="L1063" s="677"/>
      <c r="M1063" s="677"/>
      <c r="N1063" s="592" t="str">
        <f>"Page "&amp;SUM(P$6:P1063)&amp;" of "</f>
        <v xml:space="preserve">Page 13 of </v>
      </c>
      <c r="O1063" s="593">
        <f>COUNT(P$6:P$59606)</f>
        <v>14</v>
      </c>
      <c r="P1063" s="541">
        <v>1</v>
      </c>
    </row>
    <row r="1064" spans="1:16">
      <c r="B1064" s="541"/>
      <c r="C1064" s="541"/>
      <c r="D1064" s="564"/>
      <c r="E1064" s="541"/>
      <c r="F1064" s="541"/>
      <c r="G1064" s="541"/>
      <c r="H1064" s="1245"/>
      <c r="I1064" s="541"/>
      <c r="J1064" s="589"/>
      <c r="K1064" s="541"/>
      <c r="L1064" s="541"/>
      <c r="M1064" s="541"/>
      <c r="N1064" s="541"/>
      <c r="O1064" s="541"/>
    </row>
    <row r="1065" spans="1:16" ht="18">
      <c r="B1065" s="596" t="s">
        <v>174</v>
      </c>
      <c r="C1065" s="678" t="s">
        <v>290</v>
      </c>
      <c r="D1065" s="564"/>
      <c r="E1065" s="541"/>
      <c r="F1065" s="541"/>
      <c r="G1065" s="541"/>
      <c r="H1065" s="1245"/>
      <c r="I1065" s="1245"/>
      <c r="J1065" s="1246"/>
      <c r="K1065" s="1245"/>
      <c r="L1065" s="1245"/>
      <c r="M1065" s="1245"/>
      <c r="N1065" s="1245"/>
      <c r="O1065" s="541"/>
    </row>
    <row r="1066" spans="1:16" ht="18.75">
      <c r="B1066" s="596"/>
      <c r="C1066" s="595"/>
      <c r="D1066" s="564"/>
      <c r="E1066" s="541"/>
      <c r="F1066" s="541"/>
      <c r="G1066" s="541"/>
      <c r="H1066" s="1245"/>
      <c r="I1066" s="1245"/>
      <c r="J1066" s="1246"/>
      <c r="K1066" s="1245"/>
      <c r="L1066" s="1245"/>
      <c r="M1066" s="1245"/>
      <c r="N1066" s="1245"/>
      <c r="O1066" s="541"/>
    </row>
    <row r="1067" spans="1:16" ht="18.75">
      <c r="B1067" s="596"/>
      <c r="C1067" s="595" t="s">
        <v>291</v>
      </c>
      <c r="D1067" s="564"/>
      <c r="E1067" s="541"/>
      <c r="F1067" s="541"/>
      <c r="G1067" s="541"/>
      <c r="H1067" s="1245"/>
      <c r="I1067" s="1245"/>
      <c r="J1067" s="1246"/>
      <c r="K1067" s="1245"/>
      <c r="L1067" s="1245"/>
      <c r="M1067" s="1245"/>
      <c r="N1067" s="1245"/>
      <c r="O1067" s="541"/>
    </row>
    <row r="1068" spans="1:16" ht="15.75" thickBot="1">
      <c r="B1068" s="332"/>
      <c r="C1068" s="398"/>
      <c r="D1068" s="564"/>
      <c r="E1068" s="541"/>
      <c r="F1068" s="541"/>
      <c r="G1068" s="541"/>
      <c r="H1068" s="1245"/>
      <c r="I1068" s="1245"/>
      <c r="J1068" s="1246"/>
      <c r="K1068" s="1245"/>
      <c r="L1068" s="1245"/>
      <c r="M1068" s="1245"/>
      <c r="N1068" s="1245"/>
      <c r="O1068" s="541"/>
    </row>
    <row r="1069" spans="1:16" ht="15.75">
      <c r="B1069" s="332"/>
      <c r="C1069" s="597" t="s">
        <v>292</v>
      </c>
      <c r="D1069" s="564"/>
      <c r="E1069" s="541"/>
      <c r="F1069" s="541"/>
      <c r="G1069" s="1247"/>
      <c r="H1069" s="541" t="s">
        <v>271</v>
      </c>
      <c r="I1069" s="541"/>
      <c r="J1069" s="589"/>
      <c r="K1069" s="679" t="s">
        <v>296</v>
      </c>
      <c r="L1069" s="680"/>
      <c r="M1069" s="681"/>
      <c r="N1069" s="1248">
        <f>VLOOKUP(I1075,C1082:O1141,5)</f>
        <v>1129969.2145209569</v>
      </c>
      <c r="O1069" s="541"/>
    </row>
    <row r="1070" spans="1:16" ht="15.75">
      <c r="B1070" s="332"/>
      <c r="C1070" s="597"/>
      <c r="D1070" s="564"/>
      <c r="E1070" s="541"/>
      <c r="F1070" s="541"/>
      <c r="G1070" s="541"/>
      <c r="H1070" s="1249"/>
      <c r="I1070" s="1249"/>
      <c r="J1070" s="1250"/>
      <c r="K1070" s="684" t="s">
        <v>297</v>
      </c>
      <c r="L1070" s="1251"/>
      <c r="M1070" s="589"/>
      <c r="N1070" s="1252">
        <f>VLOOKUP(I1075,C1082:O1141,6)</f>
        <v>1129969.2145209569</v>
      </c>
      <c r="O1070" s="541"/>
    </row>
    <row r="1071" spans="1:16" ht="13.5" thickBot="1">
      <c r="B1071" s="332"/>
      <c r="C1071" s="685" t="s">
        <v>293</v>
      </c>
      <c r="D1071" s="1544" t="s">
        <v>985</v>
      </c>
      <c r="E1071" s="1544"/>
      <c r="F1071" s="1544"/>
      <c r="G1071" s="1544"/>
      <c r="H1071" s="1544"/>
      <c r="I1071" s="1245"/>
      <c r="J1071" s="1246"/>
      <c r="K1071" s="1253" t="s">
        <v>450</v>
      </c>
      <c r="L1071" s="1254"/>
      <c r="M1071" s="1254"/>
      <c r="N1071" s="1255">
        <f>+N1070-N1069</f>
        <v>0</v>
      </c>
      <c r="O1071" s="541"/>
    </row>
    <row r="1072" spans="1:16">
      <c r="B1072" s="332"/>
      <c r="C1072" s="687"/>
      <c r="D1072" s="688"/>
      <c r="E1072" s="672"/>
      <c r="F1072" s="672"/>
      <c r="G1072" s="689"/>
      <c r="H1072" s="1245"/>
      <c r="I1072" s="1245"/>
      <c r="J1072" s="1246"/>
      <c r="K1072" s="1245"/>
      <c r="L1072" s="1245"/>
      <c r="M1072" s="1245"/>
      <c r="N1072" s="1245"/>
      <c r="O1072" s="541"/>
    </row>
    <row r="1073" spans="1:15" ht="13.5" thickBot="1">
      <c r="B1073" s="332"/>
      <c r="C1073" s="690"/>
      <c r="D1073" s="691"/>
      <c r="E1073" s="689"/>
      <c r="F1073" s="689"/>
      <c r="G1073" s="689"/>
      <c r="H1073" s="689"/>
      <c r="I1073" s="689"/>
      <c r="J1073" s="692"/>
      <c r="K1073" s="689"/>
      <c r="L1073" s="689"/>
      <c r="M1073" s="689"/>
      <c r="N1073" s="689"/>
      <c r="O1073" s="577"/>
    </row>
    <row r="1074" spans="1:15" ht="13.5" thickBot="1">
      <c r="B1074" s="332"/>
      <c r="C1074" s="694" t="s">
        <v>294</v>
      </c>
      <c r="D1074" s="695"/>
      <c r="E1074" s="695"/>
      <c r="F1074" s="695"/>
      <c r="G1074" s="695"/>
      <c r="H1074" s="695"/>
      <c r="I1074" s="696"/>
      <c r="J1074" s="697"/>
      <c r="K1074" s="541"/>
      <c r="L1074" s="541"/>
      <c r="M1074" s="541"/>
      <c r="N1074" s="541"/>
      <c r="O1074" s="698"/>
    </row>
    <row r="1075" spans="1:15" ht="15">
      <c r="C1075" s="700" t="s">
        <v>272</v>
      </c>
      <c r="D1075" s="1256">
        <v>9292117</v>
      </c>
      <c r="E1075" s="656" t="s">
        <v>273</v>
      </c>
      <c r="G1075" s="701"/>
      <c r="H1075" s="701"/>
      <c r="I1075" s="702">
        <v>2018</v>
      </c>
      <c r="J1075" s="587"/>
      <c r="K1075" s="1542" t="s">
        <v>459</v>
      </c>
      <c r="L1075" s="1542"/>
      <c r="M1075" s="1542"/>
      <c r="N1075" s="1542"/>
      <c r="O1075" s="1542"/>
    </row>
    <row r="1076" spans="1:15">
      <c r="C1076" s="700" t="s">
        <v>275</v>
      </c>
      <c r="D1076" s="1294">
        <v>2017</v>
      </c>
      <c r="E1076" s="700" t="s">
        <v>276</v>
      </c>
      <c r="F1076" s="701"/>
      <c r="H1076" s="332"/>
      <c r="I1076" s="875">
        <f>IF(G1069="",0,$F$15)</f>
        <v>0</v>
      </c>
      <c r="J1076" s="703"/>
      <c r="K1076" s="1246" t="s">
        <v>459</v>
      </c>
    </row>
    <row r="1077" spans="1:15">
      <c r="C1077" s="700" t="s">
        <v>277</v>
      </c>
      <c r="D1077" s="1256">
        <v>12</v>
      </c>
      <c r="E1077" s="700" t="s">
        <v>278</v>
      </c>
      <c r="F1077" s="701"/>
      <c r="H1077" s="332"/>
      <c r="I1077" s="704">
        <f>$G$70</f>
        <v>0.1009634410531228</v>
      </c>
      <c r="J1077" s="705"/>
      <c r="K1077" s="332" t="str">
        <f>"          INPUT PROJECTED ARR (WITH &amp; WITHOUT INCENTIVES) FROM EACH PRIOR YEAR"</f>
        <v xml:space="preserve">          INPUT PROJECTED ARR (WITH &amp; WITHOUT INCENTIVES) FROM EACH PRIOR YEAR</v>
      </c>
    </row>
    <row r="1078" spans="1:15">
      <c r="C1078" s="700" t="s">
        <v>279</v>
      </c>
      <c r="D1078" s="706">
        <f>G$79</f>
        <v>46</v>
      </c>
      <c r="E1078" s="700" t="s">
        <v>280</v>
      </c>
      <c r="F1078" s="701"/>
      <c r="H1078" s="332"/>
      <c r="I1078" s="704">
        <f>IF(G1069="",I1077,$G$67)</f>
        <v>0.1009634410531228</v>
      </c>
      <c r="J1078" s="707"/>
      <c r="K1078" s="332" t="s">
        <v>357</v>
      </c>
    </row>
    <row r="1079" spans="1:15" ht="13.5" thickBot="1">
      <c r="C1079" s="700" t="s">
        <v>281</v>
      </c>
      <c r="D1079" s="874" t="s">
        <v>974</v>
      </c>
      <c r="E1079" s="708" t="s">
        <v>282</v>
      </c>
      <c r="F1079" s="709"/>
      <c r="G1079" s="710"/>
      <c r="H1079" s="710"/>
      <c r="I1079" s="1255">
        <f>IF(D1075=0,0,D1075/D1078)</f>
        <v>202002.54347826086</v>
      </c>
      <c r="J1079" s="1246"/>
      <c r="K1079" s="1246" t="s">
        <v>363</v>
      </c>
      <c r="L1079" s="1246"/>
      <c r="M1079" s="1246"/>
      <c r="N1079" s="1246"/>
      <c r="O1079" s="589"/>
    </row>
    <row r="1080" spans="1:15" ht="51">
      <c r="A1080" s="528"/>
      <c r="B1080" s="528"/>
      <c r="C1080" s="711" t="s">
        <v>272</v>
      </c>
      <c r="D1080" s="1258" t="s">
        <v>283</v>
      </c>
      <c r="E1080" s="1259" t="s">
        <v>284</v>
      </c>
      <c r="F1080" s="1258" t="s">
        <v>285</v>
      </c>
      <c r="G1080" s="1259" t="s">
        <v>356</v>
      </c>
      <c r="H1080" s="1260" t="s">
        <v>356</v>
      </c>
      <c r="I1080" s="711" t="s">
        <v>295</v>
      </c>
      <c r="J1080" s="715"/>
      <c r="K1080" s="1259" t="s">
        <v>365</v>
      </c>
      <c r="L1080" s="1261"/>
      <c r="M1080" s="1259" t="s">
        <v>365</v>
      </c>
      <c r="N1080" s="1261"/>
      <c r="O1080" s="1261"/>
    </row>
    <row r="1081" spans="1:15" ht="13.5" thickBot="1">
      <c r="B1081" s="332"/>
      <c r="C1081" s="717" t="s">
        <v>177</v>
      </c>
      <c r="D1081" s="718" t="s">
        <v>178</v>
      </c>
      <c r="E1081" s="717" t="s">
        <v>37</v>
      </c>
      <c r="F1081" s="718" t="s">
        <v>178</v>
      </c>
      <c r="G1081" s="1262" t="s">
        <v>298</v>
      </c>
      <c r="H1081" s="1263" t="s">
        <v>300</v>
      </c>
      <c r="I1081" s="721" t="s">
        <v>389</v>
      </c>
      <c r="J1081" s="722"/>
      <c r="K1081" s="1262" t="s">
        <v>287</v>
      </c>
      <c r="L1081" s="1264"/>
      <c r="M1081" s="1262" t="s">
        <v>300</v>
      </c>
      <c r="N1081" s="1264"/>
      <c r="O1081" s="1264"/>
    </row>
    <row r="1082" spans="1:15">
      <c r="B1082" s="332"/>
      <c r="C1082" s="723">
        <f>IF(D1076= "","-",D1076)</f>
        <v>2017</v>
      </c>
      <c r="D1082" s="674">
        <f>+D1075</f>
        <v>9292117</v>
      </c>
      <c r="E1082" s="1265">
        <f>+I1079/12*(12-D1077)</f>
        <v>0</v>
      </c>
      <c r="F1082" s="674">
        <f t="shared" ref="F1082:F1141" si="66">+D1082-E1082</f>
        <v>9292117</v>
      </c>
      <c r="G1082" s="1266">
        <f>+$I$988*((D1082+F1082)/2)+E1082</f>
        <v>938164.10698822024</v>
      </c>
      <c r="H1082" s="1267">
        <f>+$I$989*((D1082+F1082)/2)+E1082</f>
        <v>938164.10698822024</v>
      </c>
      <c r="I1082" s="727">
        <f t="shared" ref="I1082:I1141" si="67">+H1082-G1082</f>
        <v>0</v>
      </c>
      <c r="J1082" s="727"/>
      <c r="K1082" s="876"/>
      <c r="L1082" s="729"/>
      <c r="M1082" s="876"/>
      <c r="N1082" s="729"/>
      <c r="O1082" s="729"/>
    </row>
    <row r="1083" spans="1:15">
      <c r="B1083" s="332"/>
      <c r="C1083" s="1269">
        <f>IF(D1076="","-",+C1082+1)</f>
        <v>2018</v>
      </c>
      <c r="D1083" s="1270">
        <f t="shared" ref="D1083:D1141" si="68">F1082</f>
        <v>9292117</v>
      </c>
      <c r="E1083" s="1271">
        <f>IF(D1083&gt;$I$1079,$I$1079,D1083)</f>
        <v>202002.54347826086</v>
      </c>
      <c r="F1083" s="1270">
        <f t="shared" si="66"/>
        <v>9090114.4565217383</v>
      </c>
      <c r="G1083" s="1272">
        <f t="shared" ref="G1083:G1141" si="69">+$I$988*((D1083+F1083)/2)+E1083</f>
        <v>1129969.2145209569</v>
      </c>
      <c r="H1083" s="1273">
        <f t="shared" ref="H1083:H1141" si="70">+$I$989*((D1083+F1083)/2)+E1083</f>
        <v>1129969.2145209569</v>
      </c>
      <c r="I1083" s="1279">
        <f t="shared" si="67"/>
        <v>0</v>
      </c>
      <c r="J1083" s="727"/>
      <c r="K1083" s="877"/>
      <c r="L1083" s="733"/>
      <c r="M1083" s="877"/>
      <c r="N1083" s="733"/>
      <c r="O1083" s="733"/>
    </row>
    <row r="1084" spans="1:15">
      <c r="B1084" s="332"/>
      <c r="C1084" s="723">
        <f>IF(D1076="","-",+C1083+1)</f>
        <v>2019</v>
      </c>
      <c r="D1084" s="674">
        <f t="shared" si="68"/>
        <v>9090114.4565217383</v>
      </c>
      <c r="E1084" s="1271">
        <f t="shared" ref="E1084:E1141" si="71">IF(D1084&gt;$I$1079,$I$1079,D1084)</f>
        <v>202002.54347826086</v>
      </c>
      <c r="F1084" s="674">
        <f t="shared" si="66"/>
        <v>8888111.9130434766</v>
      </c>
      <c r="G1084" s="1265">
        <f t="shared" si="69"/>
        <v>1109574.3426299086</v>
      </c>
      <c r="H1084" s="1268">
        <f t="shared" si="70"/>
        <v>1109574.3426299086</v>
      </c>
      <c r="I1084" s="727">
        <f t="shared" si="67"/>
        <v>0</v>
      </c>
      <c r="J1084" s="727"/>
      <c r="K1084" s="1290"/>
      <c r="L1084" s="1278"/>
      <c r="M1084" s="1290"/>
      <c r="N1084" s="733"/>
      <c r="O1084" s="733"/>
    </row>
    <row r="1085" spans="1:15">
      <c r="B1085" s="332"/>
      <c r="C1085" s="723">
        <f>IF(D1076="","-",+C1084+1)</f>
        <v>2020</v>
      </c>
      <c r="D1085" s="674">
        <f t="shared" si="68"/>
        <v>8888111.9130434766</v>
      </c>
      <c r="E1085" s="1271">
        <f t="shared" si="71"/>
        <v>202002.54347826086</v>
      </c>
      <c r="F1085" s="674">
        <f t="shared" si="66"/>
        <v>8686109.369565215</v>
      </c>
      <c r="G1085" s="1265">
        <f t="shared" si="69"/>
        <v>1089179.4707388603</v>
      </c>
      <c r="H1085" s="1268">
        <f t="shared" si="70"/>
        <v>1089179.4707388603</v>
      </c>
      <c r="I1085" s="727">
        <f t="shared" si="67"/>
        <v>0</v>
      </c>
      <c r="J1085" s="727"/>
      <c r="K1085" s="877"/>
      <c r="L1085" s="733"/>
      <c r="M1085" s="877"/>
      <c r="N1085" s="733"/>
      <c r="O1085" s="733"/>
    </row>
    <row r="1086" spans="1:15">
      <c r="B1086" s="332"/>
      <c r="C1086" s="723">
        <f>IF(D1076="","-",+C1085+1)</f>
        <v>2021</v>
      </c>
      <c r="D1086" s="674">
        <f t="shared" si="68"/>
        <v>8686109.369565215</v>
      </c>
      <c r="E1086" s="1271">
        <f t="shared" si="71"/>
        <v>202002.54347826086</v>
      </c>
      <c r="F1086" s="674">
        <f t="shared" si="66"/>
        <v>8484106.8260869533</v>
      </c>
      <c r="G1086" s="1265">
        <f t="shared" si="69"/>
        <v>1068784.598847812</v>
      </c>
      <c r="H1086" s="1268">
        <f t="shared" si="70"/>
        <v>1068784.598847812</v>
      </c>
      <c r="I1086" s="727">
        <f t="shared" si="67"/>
        <v>0</v>
      </c>
      <c r="J1086" s="727"/>
      <c r="K1086" s="877"/>
      <c r="L1086" s="733"/>
      <c r="M1086" s="877"/>
      <c r="N1086" s="733"/>
      <c r="O1086" s="733"/>
    </row>
    <row r="1087" spans="1:15">
      <c r="B1087" s="332"/>
      <c r="C1087" s="723">
        <f>IF(D1076="","-",+C1086+1)</f>
        <v>2022</v>
      </c>
      <c r="D1087" s="674">
        <f t="shared" si="68"/>
        <v>8484106.8260869533</v>
      </c>
      <c r="E1087" s="1271">
        <f t="shared" si="71"/>
        <v>202002.54347826086</v>
      </c>
      <c r="F1087" s="674">
        <f t="shared" si="66"/>
        <v>8282104.2826086925</v>
      </c>
      <c r="G1087" s="1265">
        <f t="shared" si="69"/>
        <v>1048389.7269567635</v>
      </c>
      <c r="H1087" s="1268">
        <f t="shared" si="70"/>
        <v>1048389.7269567635</v>
      </c>
      <c r="I1087" s="727">
        <f t="shared" si="67"/>
        <v>0</v>
      </c>
      <c r="J1087" s="727"/>
      <c r="K1087" s="877"/>
      <c r="L1087" s="733"/>
      <c r="M1087" s="877"/>
      <c r="N1087" s="733"/>
      <c r="O1087" s="733"/>
    </row>
    <row r="1088" spans="1:15">
      <c r="B1088" s="332"/>
      <c r="C1088" s="723">
        <f>IF(D1076="","-",+C1087+1)</f>
        <v>2023</v>
      </c>
      <c r="D1088" s="674">
        <f t="shared" si="68"/>
        <v>8282104.2826086925</v>
      </c>
      <c r="E1088" s="1271">
        <f t="shared" si="71"/>
        <v>202002.54347826086</v>
      </c>
      <c r="F1088" s="674">
        <f t="shared" si="66"/>
        <v>8080101.7391304318</v>
      </c>
      <c r="G1088" s="1265">
        <f t="shared" si="69"/>
        <v>1027994.8550657154</v>
      </c>
      <c r="H1088" s="1268">
        <f t="shared" si="70"/>
        <v>1027994.8550657154</v>
      </c>
      <c r="I1088" s="727">
        <f t="shared" si="67"/>
        <v>0</v>
      </c>
      <c r="J1088" s="727"/>
      <c r="K1088" s="877"/>
      <c r="L1088" s="733"/>
      <c r="M1088" s="877"/>
      <c r="N1088" s="733"/>
      <c r="O1088" s="733"/>
    </row>
    <row r="1089" spans="2:15">
      <c r="B1089" s="332"/>
      <c r="C1089" s="1293">
        <f>IF(D1076="","-",+C1088+1)</f>
        <v>2024</v>
      </c>
      <c r="D1089" s="1270">
        <f t="shared" si="68"/>
        <v>8080101.7391304318</v>
      </c>
      <c r="E1089" s="1271">
        <f t="shared" si="71"/>
        <v>202002.54347826086</v>
      </c>
      <c r="F1089" s="1270">
        <f t="shared" si="66"/>
        <v>7878099.195652171</v>
      </c>
      <c r="G1089" s="1272">
        <f t="shared" si="69"/>
        <v>1007599.983174667</v>
      </c>
      <c r="H1089" s="1273">
        <f t="shared" si="70"/>
        <v>1007599.983174667</v>
      </c>
      <c r="I1089" s="1279">
        <f t="shared" si="67"/>
        <v>0</v>
      </c>
      <c r="J1089" s="727"/>
      <c r="K1089" s="877"/>
      <c r="L1089" s="733"/>
      <c r="M1089" s="877"/>
      <c r="N1089" s="733"/>
      <c r="O1089" s="733"/>
    </row>
    <row r="1090" spans="2:15">
      <c r="B1090" s="332"/>
      <c r="C1090" s="723">
        <f>IF(D1076="","-",+C1089+1)</f>
        <v>2025</v>
      </c>
      <c r="D1090" s="674">
        <f t="shared" si="68"/>
        <v>7878099.195652171</v>
      </c>
      <c r="E1090" s="1271">
        <f t="shared" si="71"/>
        <v>202002.54347826086</v>
      </c>
      <c r="F1090" s="674">
        <f t="shared" si="66"/>
        <v>7676096.6521739103</v>
      </c>
      <c r="G1090" s="1265">
        <f t="shared" si="69"/>
        <v>987205.11128361884</v>
      </c>
      <c r="H1090" s="1268">
        <f t="shared" si="70"/>
        <v>987205.11128361884</v>
      </c>
      <c r="I1090" s="727">
        <f t="shared" si="67"/>
        <v>0</v>
      </c>
      <c r="J1090" s="727"/>
      <c r="K1090" s="877"/>
      <c r="L1090" s="733"/>
      <c r="M1090" s="877"/>
      <c r="N1090" s="733"/>
      <c r="O1090" s="733"/>
    </row>
    <row r="1091" spans="2:15">
      <c r="B1091" s="332"/>
      <c r="C1091" s="723">
        <f>IF(D1076="","-",+C1090+1)</f>
        <v>2026</v>
      </c>
      <c r="D1091" s="674">
        <f t="shared" si="68"/>
        <v>7676096.6521739103</v>
      </c>
      <c r="E1091" s="1271">
        <f t="shared" si="71"/>
        <v>202002.54347826086</v>
      </c>
      <c r="F1091" s="674">
        <f t="shared" si="66"/>
        <v>7474094.1086956495</v>
      </c>
      <c r="G1091" s="1265">
        <f t="shared" si="69"/>
        <v>966810.23939257057</v>
      </c>
      <c r="H1091" s="1268">
        <f t="shared" si="70"/>
        <v>966810.23939257057</v>
      </c>
      <c r="I1091" s="727">
        <f t="shared" si="67"/>
        <v>0</v>
      </c>
      <c r="J1091" s="727"/>
      <c r="K1091" s="877"/>
      <c r="L1091" s="733"/>
      <c r="M1091" s="877"/>
      <c r="N1091" s="733"/>
      <c r="O1091" s="733"/>
    </row>
    <row r="1092" spans="2:15">
      <c r="B1092" s="332"/>
      <c r="C1092" s="723">
        <f>IF(D1076="","-",+C1091+1)</f>
        <v>2027</v>
      </c>
      <c r="D1092" s="674">
        <f t="shared" si="68"/>
        <v>7474094.1086956495</v>
      </c>
      <c r="E1092" s="1271">
        <f t="shared" si="71"/>
        <v>202002.54347826086</v>
      </c>
      <c r="F1092" s="674">
        <f t="shared" si="66"/>
        <v>7272091.5652173888</v>
      </c>
      <c r="G1092" s="1265">
        <f t="shared" si="69"/>
        <v>946415.36750152241</v>
      </c>
      <c r="H1092" s="1268">
        <f t="shared" si="70"/>
        <v>946415.36750152241</v>
      </c>
      <c r="I1092" s="727">
        <f t="shared" si="67"/>
        <v>0</v>
      </c>
      <c r="J1092" s="727"/>
      <c r="K1092" s="877"/>
      <c r="L1092" s="733"/>
      <c r="M1092" s="877"/>
      <c r="N1092" s="733"/>
      <c r="O1092" s="733"/>
    </row>
    <row r="1093" spans="2:15">
      <c r="B1093" s="332"/>
      <c r="C1093" s="723">
        <f>IF(D1076="","-",+C1092+1)</f>
        <v>2028</v>
      </c>
      <c r="D1093" s="674">
        <f t="shared" si="68"/>
        <v>7272091.5652173888</v>
      </c>
      <c r="E1093" s="1271">
        <f t="shared" si="71"/>
        <v>202002.54347826086</v>
      </c>
      <c r="F1093" s="674">
        <f t="shared" si="66"/>
        <v>7070089.021739128</v>
      </c>
      <c r="G1093" s="1265">
        <f t="shared" si="69"/>
        <v>926020.49561047403</v>
      </c>
      <c r="H1093" s="1268">
        <f t="shared" si="70"/>
        <v>926020.49561047403</v>
      </c>
      <c r="I1093" s="727">
        <f t="shared" si="67"/>
        <v>0</v>
      </c>
      <c r="J1093" s="727"/>
      <c r="K1093" s="877"/>
      <c r="L1093" s="733"/>
      <c r="M1093" s="877"/>
      <c r="N1093" s="733"/>
      <c r="O1093" s="733"/>
    </row>
    <row r="1094" spans="2:15">
      <c r="B1094" s="332"/>
      <c r="C1094" s="723">
        <f>IF(D1076="","-",+C1093+1)</f>
        <v>2029</v>
      </c>
      <c r="D1094" s="674">
        <f t="shared" si="68"/>
        <v>7070089.021739128</v>
      </c>
      <c r="E1094" s="1271">
        <f t="shared" si="71"/>
        <v>202002.54347826086</v>
      </c>
      <c r="F1094" s="674">
        <f t="shared" si="66"/>
        <v>6868086.4782608673</v>
      </c>
      <c r="G1094" s="1265">
        <f t="shared" si="69"/>
        <v>905625.62371942587</v>
      </c>
      <c r="H1094" s="1268">
        <f t="shared" si="70"/>
        <v>905625.62371942587</v>
      </c>
      <c r="I1094" s="727">
        <f t="shared" si="67"/>
        <v>0</v>
      </c>
      <c r="J1094" s="727"/>
      <c r="K1094" s="877"/>
      <c r="L1094" s="733"/>
      <c r="M1094" s="877"/>
      <c r="N1094" s="734"/>
      <c r="O1094" s="733"/>
    </row>
    <row r="1095" spans="2:15">
      <c r="B1095" s="332"/>
      <c r="C1095" s="723">
        <f>IF(D1076="","-",+C1094+1)</f>
        <v>2030</v>
      </c>
      <c r="D1095" s="674">
        <f t="shared" si="68"/>
        <v>6868086.4782608673</v>
      </c>
      <c r="E1095" s="1271">
        <f t="shared" si="71"/>
        <v>202002.54347826086</v>
      </c>
      <c r="F1095" s="674">
        <f t="shared" si="66"/>
        <v>6666083.9347826065</v>
      </c>
      <c r="G1095" s="1265">
        <f t="shared" si="69"/>
        <v>885230.75182837748</v>
      </c>
      <c r="H1095" s="1268">
        <f t="shared" si="70"/>
        <v>885230.75182837748</v>
      </c>
      <c r="I1095" s="727">
        <f t="shared" si="67"/>
        <v>0</v>
      </c>
      <c r="J1095" s="727"/>
      <c r="K1095" s="877"/>
      <c r="L1095" s="733"/>
      <c r="M1095" s="877"/>
      <c r="N1095" s="733"/>
      <c r="O1095" s="733"/>
    </row>
    <row r="1096" spans="2:15">
      <c r="B1096" s="332"/>
      <c r="C1096" s="723">
        <f>IF(D1076="","-",+C1095+1)</f>
        <v>2031</v>
      </c>
      <c r="D1096" s="674">
        <f t="shared" si="68"/>
        <v>6666083.9347826065</v>
      </c>
      <c r="E1096" s="1271">
        <f t="shared" si="71"/>
        <v>202002.54347826086</v>
      </c>
      <c r="F1096" s="674">
        <f t="shared" si="66"/>
        <v>6464081.3913043458</v>
      </c>
      <c r="G1096" s="1265">
        <f t="shared" si="69"/>
        <v>864835.87993732933</v>
      </c>
      <c r="H1096" s="1268">
        <f t="shared" si="70"/>
        <v>864835.87993732933</v>
      </c>
      <c r="I1096" s="727">
        <f t="shared" si="67"/>
        <v>0</v>
      </c>
      <c r="J1096" s="727"/>
      <c r="K1096" s="877"/>
      <c r="L1096" s="733"/>
      <c r="M1096" s="877"/>
      <c r="N1096" s="733"/>
      <c r="O1096" s="733"/>
    </row>
    <row r="1097" spans="2:15">
      <c r="B1097" s="332"/>
      <c r="C1097" s="723">
        <f>IF(D1076="","-",+C1096+1)</f>
        <v>2032</v>
      </c>
      <c r="D1097" s="674">
        <f t="shared" si="68"/>
        <v>6464081.3913043458</v>
      </c>
      <c r="E1097" s="1271">
        <f t="shared" si="71"/>
        <v>202002.54347826086</v>
      </c>
      <c r="F1097" s="674">
        <f t="shared" si="66"/>
        <v>6262078.8478260851</v>
      </c>
      <c r="G1097" s="1265">
        <f t="shared" si="69"/>
        <v>844441.00804628106</v>
      </c>
      <c r="H1097" s="1268">
        <f t="shared" si="70"/>
        <v>844441.00804628106</v>
      </c>
      <c r="I1097" s="727">
        <f t="shared" si="67"/>
        <v>0</v>
      </c>
      <c r="J1097" s="727"/>
      <c r="K1097" s="877"/>
      <c r="L1097" s="733"/>
      <c r="M1097" s="877"/>
      <c r="N1097" s="733"/>
      <c r="O1097" s="733"/>
    </row>
    <row r="1098" spans="2:15">
      <c r="B1098" s="332"/>
      <c r="C1098" s="723">
        <f>IF(D1076="","-",+C1097+1)</f>
        <v>2033</v>
      </c>
      <c r="D1098" s="674">
        <f t="shared" si="68"/>
        <v>6262078.8478260851</v>
      </c>
      <c r="E1098" s="1271">
        <f t="shared" si="71"/>
        <v>202002.54347826086</v>
      </c>
      <c r="F1098" s="674">
        <f t="shared" si="66"/>
        <v>6060076.3043478243</v>
      </c>
      <c r="G1098" s="1265">
        <f t="shared" si="69"/>
        <v>824046.1361552329</v>
      </c>
      <c r="H1098" s="1268">
        <f t="shared" si="70"/>
        <v>824046.1361552329</v>
      </c>
      <c r="I1098" s="727">
        <f t="shared" si="67"/>
        <v>0</v>
      </c>
      <c r="J1098" s="727"/>
      <c r="K1098" s="877"/>
      <c r="L1098" s="733"/>
      <c r="M1098" s="877"/>
      <c r="N1098" s="733"/>
      <c r="O1098" s="733"/>
    </row>
    <row r="1099" spans="2:15">
      <c r="B1099" s="332"/>
      <c r="C1099" s="723">
        <f>IF(D1076="","-",+C1098+1)</f>
        <v>2034</v>
      </c>
      <c r="D1099" s="674">
        <f t="shared" si="68"/>
        <v>6060076.3043478243</v>
      </c>
      <c r="E1099" s="1271">
        <f t="shared" si="71"/>
        <v>202002.54347826086</v>
      </c>
      <c r="F1099" s="674">
        <f t="shared" si="66"/>
        <v>5858073.7608695636</v>
      </c>
      <c r="G1099" s="1265">
        <f t="shared" si="69"/>
        <v>803651.26426418452</v>
      </c>
      <c r="H1099" s="1268">
        <f t="shared" si="70"/>
        <v>803651.26426418452</v>
      </c>
      <c r="I1099" s="727">
        <f t="shared" si="67"/>
        <v>0</v>
      </c>
      <c r="J1099" s="727"/>
      <c r="K1099" s="877"/>
      <c r="L1099" s="733"/>
      <c r="M1099" s="877"/>
      <c r="N1099" s="733"/>
      <c r="O1099" s="733"/>
    </row>
    <row r="1100" spans="2:15">
      <c r="B1100" s="332"/>
      <c r="C1100" s="723">
        <f>IF(D1076="","-",+C1099+1)</f>
        <v>2035</v>
      </c>
      <c r="D1100" s="674">
        <f t="shared" si="68"/>
        <v>5858073.7608695636</v>
      </c>
      <c r="E1100" s="1271">
        <f t="shared" si="71"/>
        <v>202002.54347826086</v>
      </c>
      <c r="F1100" s="674">
        <f t="shared" si="66"/>
        <v>5656071.2173913028</v>
      </c>
      <c r="G1100" s="1265">
        <f t="shared" si="69"/>
        <v>783256.39237313636</v>
      </c>
      <c r="H1100" s="1268">
        <f t="shared" si="70"/>
        <v>783256.39237313636</v>
      </c>
      <c r="I1100" s="727">
        <f t="shared" si="67"/>
        <v>0</v>
      </c>
      <c r="J1100" s="727"/>
      <c r="K1100" s="877"/>
      <c r="L1100" s="733"/>
      <c r="M1100" s="877"/>
      <c r="N1100" s="733"/>
      <c r="O1100" s="733"/>
    </row>
    <row r="1101" spans="2:15">
      <c r="B1101" s="332"/>
      <c r="C1101" s="723">
        <f>IF(D1076="","-",+C1100+1)</f>
        <v>2036</v>
      </c>
      <c r="D1101" s="674">
        <f t="shared" si="68"/>
        <v>5656071.2173913028</v>
      </c>
      <c r="E1101" s="1271">
        <f t="shared" si="71"/>
        <v>202002.54347826086</v>
      </c>
      <c r="F1101" s="674">
        <f t="shared" si="66"/>
        <v>5454068.6739130421</v>
      </c>
      <c r="G1101" s="1265">
        <f t="shared" si="69"/>
        <v>762861.52048208797</v>
      </c>
      <c r="H1101" s="1268">
        <f t="shared" si="70"/>
        <v>762861.52048208797</v>
      </c>
      <c r="I1101" s="727">
        <f t="shared" si="67"/>
        <v>0</v>
      </c>
      <c r="J1101" s="727"/>
      <c r="K1101" s="877"/>
      <c r="L1101" s="733"/>
      <c r="M1101" s="877"/>
      <c r="N1101" s="733"/>
      <c r="O1101" s="733"/>
    </row>
    <row r="1102" spans="2:15">
      <c r="B1102" s="332"/>
      <c r="C1102" s="723">
        <f>IF(D1076="","-",+C1101+1)</f>
        <v>2037</v>
      </c>
      <c r="D1102" s="674">
        <f t="shared" si="68"/>
        <v>5454068.6739130421</v>
      </c>
      <c r="E1102" s="1271">
        <f t="shared" si="71"/>
        <v>202002.54347826086</v>
      </c>
      <c r="F1102" s="674">
        <f t="shared" si="66"/>
        <v>5252066.1304347813</v>
      </c>
      <c r="G1102" s="1265">
        <f t="shared" si="69"/>
        <v>742466.64859103982</v>
      </c>
      <c r="H1102" s="1268">
        <f t="shared" si="70"/>
        <v>742466.64859103982</v>
      </c>
      <c r="I1102" s="727">
        <f t="shared" si="67"/>
        <v>0</v>
      </c>
      <c r="J1102" s="727"/>
      <c r="K1102" s="877"/>
      <c r="L1102" s="733"/>
      <c r="M1102" s="877"/>
      <c r="N1102" s="733"/>
      <c r="O1102" s="733"/>
    </row>
    <row r="1103" spans="2:15">
      <c r="B1103" s="332"/>
      <c r="C1103" s="723">
        <f>IF(D1076="","-",+C1102+1)</f>
        <v>2038</v>
      </c>
      <c r="D1103" s="674">
        <f t="shared" si="68"/>
        <v>5252066.1304347813</v>
      </c>
      <c r="E1103" s="1271">
        <f t="shared" si="71"/>
        <v>202002.54347826086</v>
      </c>
      <c r="F1103" s="674">
        <f t="shared" si="66"/>
        <v>5050063.5869565206</v>
      </c>
      <c r="G1103" s="1265">
        <f t="shared" si="69"/>
        <v>722071.77669999143</v>
      </c>
      <c r="H1103" s="1268">
        <f t="shared" si="70"/>
        <v>722071.77669999143</v>
      </c>
      <c r="I1103" s="727">
        <f t="shared" si="67"/>
        <v>0</v>
      </c>
      <c r="J1103" s="727"/>
      <c r="K1103" s="877"/>
      <c r="L1103" s="733"/>
      <c r="M1103" s="877"/>
      <c r="N1103" s="733"/>
      <c r="O1103" s="733"/>
    </row>
    <row r="1104" spans="2:15">
      <c r="B1104" s="332"/>
      <c r="C1104" s="723">
        <f>IF(D1076="","-",+C1103+1)</f>
        <v>2039</v>
      </c>
      <c r="D1104" s="674">
        <f t="shared" si="68"/>
        <v>5050063.5869565206</v>
      </c>
      <c r="E1104" s="1271">
        <f t="shared" si="71"/>
        <v>202002.54347826086</v>
      </c>
      <c r="F1104" s="674">
        <f t="shared" si="66"/>
        <v>4848061.0434782598</v>
      </c>
      <c r="G1104" s="1265">
        <f t="shared" si="69"/>
        <v>701676.90480894339</v>
      </c>
      <c r="H1104" s="1268">
        <f t="shared" si="70"/>
        <v>701676.90480894339</v>
      </c>
      <c r="I1104" s="727">
        <f t="shared" si="67"/>
        <v>0</v>
      </c>
      <c r="J1104" s="727"/>
      <c r="K1104" s="877"/>
      <c r="L1104" s="733"/>
      <c r="M1104" s="877"/>
      <c r="N1104" s="733"/>
      <c r="O1104" s="733"/>
    </row>
    <row r="1105" spans="2:15">
      <c r="B1105" s="332"/>
      <c r="C1105" s="723">
        <f>IF(D1076="","-",+C1104+1)</f>
        <v>2040</v>
      </c>
      <c r="D1105" s="674">
        <f t="shared" si="68"/>
        <v>4848061.0434782598</v>
      </c>
      <c r="E1105" s="1271">
        <f t="shared" si="71"/>
        <v>202002.54347826086</v>
      </c>
      <c r="F1105" s="674">
        <f t="shared" si="66"/>
        <v>4646058.4999999991</v>
      </c>
      <c r="G1105" s="1265">
        <f t="shared" si="69"/>
        <v>681282.03291789501</v>
      </c>
      <c r="H1105" s="1268">
        <f t="shared" si="70"/>
        <v>681282.03291789501</v>
      </c>
      <c r="I1105" s="727">
        <f t="shared" si="67"/>
        <v>0</v>
      </c>
      <c r="J1105" s="727"/>
      <c r="K1105" s="877"/>
      <c r="L1105" s="733"/>
      <c r="M1105" s="877"/>
      <c r="N1105" s="733"/>
      <c r="O1105" s="733"/>
    </row>
    <row r="1106" spans="2:15">
      <c r="B1106" s="332"/>
      <c r="C1106" s="723">
        <f>IF(D1076="","-",+C1105+1)</f>
        <v>2041</v>
      </c>
      <c r="D1106" s="674">
        <f t="shared" si="68"/>
        <v>4646058.4999999991</v>
      </c>
      <c r="E1106" s="1271">
        <f t="shared" si="71"/>
        <v>202002.54347826086</v>
      </c>
      <c r="F1106" s="674">
        <f t="shared" si="66"/>
        <v>4444055.9565217383</v>
      </c>
      <c r="G1106" s="1265">
        <f t="shared" si="69"/>
        <v>660887.16102684685</v>
      </c>
      <c r="H1106" s="1268">
        <f t="shared" si="70"/>
        <v>660887.16102684685</v>
      </c>
      <c r="I1106" s="727">
        <f t="shared" si="67"/>
        <v>0</v>
      </c>
      <c r="J1106" s="727"/>
      <c r="K1106" s="877"/>
      <c r="L1106" s="733"/>
      <c r="M1106" s="877"/>
      <c r="N1106" s="733"/>
      <c r="O1106" s="733"/>
    </row>
    <row r="1107" spans="2:15">
      <c r="B1107" s="332"/>
      <c r="C1107" s="723">
        <f>IF(D1076="","-",+C1106+1)</f>
        <v>2042</v>
      </c>
      <c r="D1107" s="674">
        <f t="shared" si="68"/>
        <v>4444055.9565217383</v>
      </c>
      <c r="E1107" s="1271">
        <f t="shared" si="71"/>
        <v>202002.54347826086</v>
      </c>
      <c r="F1107" s="674">
        <f t="shared" si="66"/>
        <v>4242053.4130434776</v>
      </c>
      <c r="G1107" s="1265">
        <f t="shared" si="69"/>
        <v>640492.28913579846</v>
      </c>
      <c r="H1107" s="1268">
        <f t="shared" si="70"/>
        <v>640492.28913579846</v>
      </c>
      <c r="I1107" s="727">
        <f t="shared" si="67"/>
        <v>0</v>
      </c>
      <c r="J1107" s="727"/>
      <c r="K1107" s="877"/>
      <c r="L1107" s="733"/>
      <c r="M1107" s="877"/>
      <c r="N1107" s="733"/>
      <c r="O1107" s="733"/>
    </row>
    <row r="1108" spans="2:15">
      <c r="B1108" s="332"/>
      <c r="C1108" s="723">
        <f>IF(D1076="","-",+C1107+1)</f>
        <v>2043</v>
      </c>
      <c r="D1108" s="674">
        <f t="shared" si="68"/>
        <v>4242053.4130434776</v>
      </c>
      <c r="E1108" s="1271">
        <f t="shared" si="71"/>
        <v>202002.54347826086</v>
      </c>
      <c r="F1108" s="674">
        <f t="shared" si="66"/>
        <v>4040050.8695652168</v>
      </c>
      <c r="G1108" s="1265">
        <f t="shared" si="69"/>
        <v>620097.41724475031</v>
      </c>
      <c r="H1108" s="1268">
        <f t="shared" si="70"/>
        <v>620097.41724475031</v>
      </c>
      <c r="I1108" s="727">
        <f t="shared" si="67"/>
        <v>0</v>
      </c>
      <c r="J1108" s="727"/>
      <c r="K1108" s="877"/>
      <c r="L1108" s="733"/>
      <c r="M1108" s="877"/>
      <c r="N1108" s="733"/>
      <c r="O1108" s="733"/>
    </row>
    <row r="1109" spans="2:15">
      <c r="B1109" s="332"/>
      <c r="C1109" s="723">
        <f>IF(D1076="","-",+C1108+1)</f>
        <v>2044</v>
      </c>
      <c r="D1109" s="674">
        <f t="shared" si="68"/>
        <v>4040050.8695652168</v>
      </c>
      <c r="E1109" s="1271">
        <f t="shared" si="71"/>
        <v>202002.54347826086</v>
      </c>
      <c r="F1109" s="674">
        <f t="shared" si="66"/>
        <v>3838048.3260869561</v>
      </c>
      <c r="G1109" s="1265">
        <f t="shared" si="69"/>
        <v>599702.54535370204</v>
      </c>
      <c r="H1109" s="1268">
        <f t="shared" si="70"/>
        <v>599702.54535370204</v>
      </c>
      <c r="I1109" s="727">
        <f t="shared" si="67"/>
        <v>0</v>
      </c>
      <c r="J1109" s="727"/>
      <c r="K1109" s="877"/>
      <c r="L1109" s="733"/>
      <c r="M1109" s="877"/>
      <c r="N1109" s="733"/>
      <c r="O1109" s="733"/>
    </row>
    <row r="1110" spans="2:15">
      <c r="B1110" s="332"/>
      <c r="C1110" s="723">
        <f>IF(D1076="","-",+C1109+1)</f>
        <v>2045</v>
      </c>
      <c r="D1110" s="674">
        <f t="shared" si="68"/>
        <v>3838048.3260869561</v>
      </c>
      <c r="E1110" s="1271">
        <f t="shared" si="71"/>
        <v>202002.54347826086</v>
      </c>
      <c r="F1110" s="674">
        <f t="shared" si="66"/>
        <v>3636045.7826086953</v>
      </c>
      <c r="G1110" s="1274">
        <f t="shared" si="69"/>
        <v>579307.67346265377</v>
      </c>
      <c r="H1110" s="1268">
        <f t="shared" si="70"/>
        <v>579307.67346265377</v>
      </c>
      <c r="I1110" s="727">
        <f t="shared" si="67"/>
        <v>0</v>
      </c>
      <c r="J1110" s="727"/>
      <c r="K1110" s="877"/>
      <c r="L1110" s="733"/>
      <c r="M1110" s="877"/>
      <c r="N1110" s="733"/>
      <c r="O1110" s="733"/>
    </row>
    <row r="1111" spans="2:15">
      <c r="B1111" s="332"/>
      <c r="C1111" s="723">
        <f>IF(D1076="","-",+C1110+1)</f>
        <v>2046</v>
      </c>
      <c r="D1111" s="674">
        <f t="shared" si="68"/>
        <v>3636045.7826086953</v>
      </c>
      <c r="E1111" s="1271">
        <f t="shared" si="71"/>
        <v>202002.54347826086</v>
      </c>
      <c r="F1111" s="674">
        <f t="shared" si="66"/>
        <v>3434043.2391304346</v>
      </c>
      <c r="G1111" s="1265">
        <f t="shared" si="69"/>
        <v>558912.80157160549</v>
      </c>
      <c r="H1111" s="1268">
        <f t="shared" si="70"/>
        <v>558912.80157160549</v>
      </c>
      <c r="I1111" s="727">
        <f t="shared" si="67"/>
        <v>0</v>
      </c>
      <c r="J1111" s="727"/>
      <c r="K1111" s="877"/>
      <c r="L1111" s="733"/>
      <c r="M1111" s="877"/>
      <c r="N1111" s="733"/>
      <c r="O1111" s="733"/>
    </row>
    <row r="1112" spans="2:15">
      <c r="B1112" s="332"/>
      <c r="C1112" s="723">
        <f>IF(D1076="","-",+C1111+1)</f>
        <v>2047</v>
      </c>
      <c r="D1112" s="674">
        <f t="shared" si="68"/>
        <v>3434043.2391304346</v>
      </c>
      <c r="E1112" s="1271">
        <f t="shared" si="71"/>
        <v>202002.54347826086</v>
      </c>
      <c r="F1112" s="674">
        <f t="shared" si="66"/>
        <v>3232040.6956521738</v>
      </c>
      <c r="G1112" s="1265">
        <f t="shared" si="69"/>
        <v>538517.92968055722</v>
      </c>
      <c r="H1112" s="1268">
        <f t="shared" si="70"/>
        <v>538517.92968055722</v>
      </c>
      <c r="I1112" s="727">
        <f t="shared" si="67"/>
        <v>0</v>
      </c>
      <c r="J1112" s="727"/>
      <c r="K1112" s="877"/>
      <c r="L1112" s="733"/>
      <c r="M1112" s="877"/>
      <c r="N1112" s="733"/>
      <c r="O1112" s="733"/>
    </row>
    <row r="1113" spans="2:15">
      <c r="B1113" s="332"/>
      <c r="C1113" s="723">
        <f>IF(D1076="","-",+C1112+1)</f>
        <v>2048</v>
      </c>
      <c r="D1113" s="674">
        <f t="shared" si="68"/>
        <v>3232040.6956521738</v>
      </c>
      <c r="E1113" s="1271">
        <f t="shared" si="71"/>
        <v>202002.54347826086</v>
      </c>
      <c r="F1113" s="674">
        <f t="shared" si="66"/>
        <v>3030038.1521739131</v>
      </c>
      <c r="G1113" s="1265">
        <f t="shared" si="69"/>
        <v>518123.05778950901</v>
      </c>
      <c r="H1113" s="1268">
        <f t="shared" si="70"/>
        <v>518123.05778950901</v>
      </c>
      <c r="I1113" s="727">
        <f t="shared" si="67"/>
        <v>0</v>
      </c>
      <c r="J1113" s="727"/>
      <c r="K1113" s="877"/>
      <c r="L1113" s="733"/>
      <c r="M1113" s="877"/>
      <c r="N1113" s="733"/>
      <c r="O1113" s="733"/>
    </row>
    <row r="1114" spans="2:15">
      <c r="B1114" s="332"/>
      <c r="C1114" s="723">
        <f>IF(D1076="","-",+C1113+1)</f>
        <v>2049</v>
      </c>
      <c r="D1114" s="674">
        <f t="shared" si="68"/>
        <v>3030038.1521739131</v>
      </c>
      <c r="E1114" s="1271">
        <f t="shared" si="71"/>
        <v>202002.54347826086</v>
      </c>
      <c r="F1114" s="674">
        <f t="shared" si="66"/>
        <v>2828035.6086956523</v>
      </c>
      <c r="G1114" s="1265">
        <f t="shared" si="69"/>
        <v>497728.18589846074</v>
      </c>
      <c r="H1114" s="1268">
        <f t="shared" si="70"/>
        <v>497728.18589846074</v>
      </c>
      <c r="I1114" s="727">
        <f t="shared" si="67"/>
        <v>0</v>
      </c>
      <c r="J1114" s="727"/>
      <c r="K1114" s="877"/>
      <c r="L1114" s="733"/>
      <c r="M1114" s="877"/>
      <c r="N1114" s="733"/>
      <c r="O1114" s="733"/>
    </row>
    <row r="1115" spans="2:15">
      <c r="B1115" s="332"/>
      <c r="C1115" s="723">
        <f>IF(D1076="","-",+C1114+1)</f>
        <v>2050</v>
      </c>
      <c r="D1115" s="674">
        <f t="shared" si="68"/>
        <v>2828035.6086956523</v>
      </c>
      <c r="E1115" s="1271">
        <f t="shared" si="71"/>
        <v>202002.54347826086</v>
      </c>
      <c r="F1115" s="674">
        <f t="shared" si="66"/>
        <v>2626033.0652173916</v>
      </c>
      <c r="G1115" s="1265">
        <f t="shared" si="69"/>
        <v>477333.31400741247</v>
      </c>
      <c r="H1115" s="1268">
        <f t="shared" si="70"/>
        <v>477333.31400741247</v>
      </c>
      <c r="I1115" s="727">
        <f t="shared" si="67"/>
        <v>0</v>
      </c>
      <c r="J1115" s="727"/>
      <c r="K1115" s="877"/>
      <c r="L1115" s="733"/>
      <c r="M1115" s="877"/>
      <c r="N1115" s="733"/>
      <c r="O1115" s="733"/>
    </row>
    <row r="1116" spans="2:15">
      <c r="B1116" s="332"/>
      <c r="C1116" s="723">
        <f>IF(D1076="","-",+C1115+1)</f>
        <v>2051</v>
      </c>
      <c r="D1116" s="674">
        <f t="shared" si="68"/>
        <v>2626033.0652173916</v>
      </c>
      <c r="E1116" s="1271">
        <f t="shared" si="71"/>
        <v>202002.54347826086</v>
      </c>
      <c r="F1116" s="674">
        <f t="shared" si="66"/>
        <v>2424030.5217391308</v>
      </c>
      <c r="G1116" s="1265">
        <f t="shared" si="69"/>
        <v>456938.44211636425</v>
      </c>
      <c r="H1116" s="1268">
        <f t="shared" si="70"/>
        <v>456938.44211636425</v>
      </c>
      <c r="I1116" s="727">
        <f t="shared" si="67"/>
        <v>0</v>
      </c>
      <c r="J1116" s="727"/>
      <c r="K1116" s="877"/>
      <c r="L1116" s="733"/>
      <c r="M1116" s="877"/>
      <c r="N1116" s="733"/>
      <c r="O1116" s="733"/>
    </row>
    <row r="1117" spans="2:15">
      <c r="B1117" s="332"/>
      <c r="C1117" s="723">
        <f>IF(D1076="","-",+C1116+1)</f>
        <v>2052</v>
      </c>
      <c r="D1117" s="674">
        <f t="shared" si="68"/>
        <v>2424030.5217391308</v>
      </c>
      <c r="E1117" s="1271">
        <f t="shared" si="71"/>
        <v>202002.54347826086</v>
      </c>
      <c r="F1117" s="674">
        <f t="shared" si="66"/>
        <v>2222027.9782608701</v>
      </c>
      <c r="G1117" s="1265">
        <f t="shared" si="69"/>
        <v>436543.57022531598</v>
      </c>
      <c r="H1117" s="1268">
        <f t="shared" si="70"/>
        <v>436543.57022531598</v>
      </c>
      <c r="I1117" s="727">
        <f t="shared" si="67"/>
        <v>0</v>
      </c>
      <c r="J1117" s="727"/>
      <c r="K1117" s="877"/>
      <c r="L1117" s="733"/>
      <c r="M1117" s="877"/>
      <c r="N1117" s="733"/>
      <c r="O1117" s="733"/>
    </row>
    <row r="1118" spans="2:15">
      <c r="B1118" s="332"/>
      <c r="C1118" s="723">
        <f>IF(D1076="","-",+C1117+1)</f>
        <v>2053</v>
      </c>
      <c r="D1118" s="674">
        <f t="shared" si="68"/>
        <v>2222027.9782608701</v>
      </c>
      <c r="E1118" s="1271">
        <f t="shared" si="71"/>
        <v>202002.54347826086</v>
      </c>
      <c r="F1118" s="674">
        <f t="shared" si="66"/>
        <v>2020025.4347826093</v>
      </c>
      <c r="G1118" s="1265">
        <f t="shared" si="69"/>
        <v>416148.69833426771</v>
      </c>
      <c r="H1118" s="1268">
        <f t="shared" si="70"/>
        <v>416148.69833426771</v>
      </c>
      <c r="I1118" s="727">
        <f t="shared" si="67"/>
        <v>0</v>
      </c>
      <c r="J1118" s="727"/>
      <c r="K1118" s="877"/>
      <c r="L1118" s="733"/>
      <c r="M1118" s="877"/>
      <c r="N1118" s="733"/>
      <c r="O1118" s="733"/>
    </row>
    <row r="1119" spans="2:15">
      <c r="B1119" s="332"/>
      <c r="C1119" s="723">
        <f>IF(D1076="","-",+C1118+1)</f>
        <v>2054</v>
      </c>
      <c r="D1119" s="674">
        <f t="shared" si="68"/>
        <v>2020025.4347826093</v>
      </c>
      <c r="E1119" s="1271">
        <f t="shared" si="71"/>
        <v>202002.54347826086</v>
      </c>
      <c r="F1119" s="674">
        <f t="shared" si="66"/>
        <v>1818022.8913043486</v>
      </c>
      <c r="G1119" s="1265">
        <f t="shared" si="69"/>
        <v>395753.82644321944</v>
      </c>
      <c r="H1119" s="1268">
        <f t="shared" si="70"/>
        <v>395753.82644321944</v>
      </c>
      <c r="I1119" s="727">
        <f t="shared" si="67"/>
        <v>0</v>
      </c>
      <c r="J1119" s="727"/>
      <c r="K1119" s="877"/>
      <c r="L1119" s="733"/>
      <c r="M1119" s="877"/>
      <c r="N1119" s="733"/>
      <c r="O1119" s="733"/>
    </row>
    <row r="1120" spans="2:15">
      <c r="B1120" s="332"/>
      <c r="C1120" s="723">
        <f>IF(D1076="","-",+C1119+1)</f>
        <v>2055</v>
      </c>
      <c r="D1120" s="674">
        <f t="shared" si="68"/>
        <v>1818022.8913043486</v>
      </c>
      <c r="E1120" s="1271">
        <f t="shared" si="71"/>
        <v>202002.54347826086</v>
      </c>
      <c r="F1120" s="674">
        <f t="shared" si="66"/>
        <v>1616020.3478260878</v>
      </c>
      <c r="G1120" s="1265">
        <f t="shared" si="69"/>
        <v>375358.95455217123</v>
      </c>
      <c r="H1120" s="1268">
        <f t="shared" si="70"/>
        <v>375358.95455217123</v>
      </c>
      <c r="I1120" s="727">
        <f t="shared" si="67"/>
        <v>0</v>
      </c>
      <c r="J1120" s="727"/>
      <c r="K1120" s="877"/>
      <c r="L1120" s="733"/>
      <c r="M1120" s="877"/>
      <c r="N1120" s="733"/>
      <c r="O1120" s="733"/>
    </row>
    <row r="1121" spans="2:15">
      <c r="B1121" s="332"/>
      <c r="C1121" s="723">
        <f>IF(D1076="","-",+C1120+1)</f>
        <v>2056</v>
      </c>
      <c r="D1121" s="674">
        <f t="shared" si="68"/>
        <v>1616020.3478260878</v>
      </c>
      <c r="E1121" s="1271">
        <f t="shared" si="71"/>
        <v>202002.54347826086</v>
      </c>
      <c r="F1121" s="674">
        <f t="shared" si="66"/>
        <v>1414017.8043478271</v>
      </c>
      <c r="G1121" s="1265">
        <f t="shared" si="69"/>
        <v>354964.08266112296</v>
      </c>
      <c r="H1121" s="1268">
        <f t="shared" si="70"/>
        <v>354964.08266112296</v>
      </c>
      <c r="I1121" s="727">
        <f t="shared" si="67"/>
        <v>0</v>
      </c>
      <c r="J1121" s="727"/>
      <c r="K1121" s="877"/>
      <c r="L1121" s="733"/>
      <c r="M1121" s="877"/>
      <c r="N1121" s="733"/>
      <c r="O1121" s="733"/>
    </row>
    <row r="1122" spans="2:15">
      <c r="B1122" s="332"/>
      <c r="C1122" s="723">
        <f>IF(D1076="","-",+C1121+1)</f>
        <v>2057</v>
      </c>
      <c r="D1122" s="674">
        <f t="shared" si="68"/>
        <v>1414017.8043478271</v>
      </c>
      <c r="E1122" s="1271">
        <f t="shared" si="71"/>
        <v>202002.54347826086</v>
      </c>
      <c r="F1122" s="674">
        <f t="shared" si="66"/>
        <v>1212015.2608695664</v>
      </c>
      <c r="G1122" s="1265">
        <f t="shared" si="69"/>
        <v>334569.21077007474</v>
      </c>
      <c r="H1122" s="1268">
        <f t="shared" si="70"/>
        <v>334569.21077007474</v>
      </c>
      <c r="I1122" s="727">
        <f t="shared" si="67"/>
        <v>0</v>
      </c>
      <c r="J1122" s="727"/>
      <c r="K1122" s="877"/>
      <c r="L1122" s="733"/>
      <c r="M1122" s="877"/>
      <c r="N1122" s="733"/>
      <c r="O1122" s="733"/>
    </row>
    <row r="1123" spans="2:15">
      <c r="B1123" s="332"/>
      <c r="C1123" s="723">
        <f>IF(D1076="","-",+C1122+1)</f>
        <v>2058</v>
      </c>
      <c r="D1123" s="674">
        <f t="shared" si="68"/>
        <v>1212015.2608695664</v>
      </c>
      <c r="E1123" s="1271">
        <f t="shared" si="71"/>
        <v>202002.54347826086</v>
      </c>
      <c r="F1123" s="674">
        <f t="shared" si="66"/>
        <v>1010012.7173913055</v>
      </c>
      <c r="G1123" s="1265">
        <f t="shared" si="69"/>
        <v>314174.33887902647</v>
      </c>
      <c r="H1123" s="1268">
        <f t="shared" si="70"/>
        <v>314174.33887902647</v>
      </c>
      <c r="I1123" s="727">
        <f t="shared" si="67"/>
        <v>0</v>
      </c>
      <c r="J1123" s="727"/>
      <c r="K1123" s="877"/>
      <c r="L1123" s="733"/>
      <c r="M1123" s="877"/>
      <c r="N1123" s="733"/>
      <c r="O1123" s="733"/>
    </row>
    <row r="1124" spans="2:15">
      <c r="B1124" s="332"/>
      <c r="C1124" s="723">
        <f>IF(D1076="","-",+C1123+1)</f>
        <v>2059</v>
      </c>
      <c r="D1124" s="674">
        <f t="shared" si="68"/>
        <v>1010012.7173913055</v>
      </c>
      <c r="E1124" s="1271">
        <f t="shared" si="71"/>
        <v>202002.54347826086</v>
      </c>
      <c r="F1124" s="674">
        <f t="shared" si="66"/>
        <v>808010.17391304462</v>
      </c>
      <c r="G1124" s="1265">
        <f t="shared" si="69"/>
        <v>293779.4669879782</v>
      </c>
      <c r="H1124" s="1268">
        <f t="shared" si="70"/>
        <v>293779.4669879782</v>
      </c>
      <c r="I1124" s="727">
        <f t="shared" si="67"/>
        <v>0</v>
      </c>
      <c r="J1124" s="727"/>
      <c r="K1124" s="877"/>
      <c r="L1124" s="733"/>
      <c r="M1124" s="877"/>
      <c r="N1124" s="733"/>
      <c r="O1124" s="733"/>
    </row>
    <row r="1125" spans="2:15">
      <c r="B1125" s="332"/>
      <c r="C1125" s="723">
        <f>IF(D1076="","-",+C1124+1)</f>
        <v>2060</v>
      </c>
      <c r="D1125" s="674">
        <f t="shared" si="68"/>
        <v>808010.17391304462</v>
      </c>
      <c r="E1125" s="1271">
        <f t="shared" si="71"/>
        <v>202002.54347826086</v>
      </c>
      <c r="F1125" s="674">
        <f t="shared" si="66"/>
        <v>606007.63043478376</v>
      </c>
      <c r="G1125" s="1265">
        <f t="shared" si="69"/>
        <v>273384.59509692993</v>
      </c>
      <c r="H1125" s="1268">
        <f t="shared" si="70"/>
        <v>273384.59509692993</v>
      </c>
      <c r="I1125" s="727">
        <f t="shared" si="67"/>
        <v>0</v>
      </c>
      <c r="J1125" s="727"/>
      <c r="K1125" s="877"/>
      <c r="L1125" s="733"/>
      <c r="M1125" s="877"/>
      <c r="N1125" s="733"/>
      <c r="O1125" s="733"/>
    </row>
    <row r="1126" spans="2:15">
      <c r="B1126" s="332"/>
      <c r="C1126" s="723">
        <f>IF(D1076="","-",+C1125+1)</f>
        <v>2061</v>
      </c>
      <c r="D1126" s="674">
        <f t="shared" si="68"/>
        <v>606007.63043478376</v>
      </c>
      <c r="E1126" s="1271">
        <f t="shared" si="71"/>
        <v>202002.54347826086</v>
      </c>
      <c r="F1126" s="674">
        <f t="shared" si="66"/>
        <v>404005.08695652289</v>
      </c>
      <c r="G1126" s="1265">
        <f t="shared" si="69"/>
        <v>252989.72320588166</v>
      </c>
      <c r="H1126" s="1268">
        <f t="shared" si="70"/>
        <v>252989.72320588166</v>
      </c>
      <c r="I1126" s="727">
        <f t="shared" si="67"/>
        <v>0</v>
      </c>
      <c r="J1126" s="727"/>
      <c r="K1126" s="877"/>
      <c r="L1126" s="733"/>
      <c r="M1126" s="877"/>
      <c r="N1126" s="733"/>
      <c r="O1126" s="733"/>
    </row>
    <row r="1127" spans="2:15">
      <c r="B1127" s="332"/>
      <c r="C1127" s="723">
        <f>IF(D1076="","-",+C1126+1)</f>
        <v>2062</v>
      </c>
      <c r="D1127" s="674">
        <f t="shared" si="68"/>
        <v>404005.08695652289</v>
      </c>
      <c r="E1127" s="1271">
        <f t="shared" si="71"/>
        <v>202002.54347826086</v>
      </c>
      <c r="F1127" s="674">
        <f t="shared" si="66"/>
        <v>202002.54347826203</v>
      </c>
      <c r="G1127" s="1265">
        <f t="shared" si="69"/>
        <v>232594.85131483339</v>
      </c>
      <c r="H1127" s="1268">
        <f t="shared" si="70"/>
        <v>232594.85131483339</v>
      </c>
      <c r="I1127" s="727">
        <f t="shared" si="67"/>
        <v>0</v>
      </c>
      <c r="J1127" s="727"/>
      <c r="K1127" s="877"/>
      <c r="L1127" s="733"/>
      <c r="M1127" s="877"/>
      <c r="N1127" s="733"/>
      <c r="O1127" s="733"/>
    </row>
    <row r="1128" spans="2:15">
      <c r="B1128" s="332"/>
      <c r="C1128" s="723">
        <f>IF(D1076="","-",+C1127+1)</f>
        <v>2063</v>
      </c>
      <c r="D1128" s="674">
        <f t="shared" si="68"/>
        <v>202002.54347826203</v>
      </c>
      <c r="E1128" s="1271">
        <f t="shared" si="71"/>
        <v>202002.54347826086</v>
      </c>
      <c r="F1128" s="674">
        <f t="shared" si="66"/>
        <v>1.1641532182693481E-9</v>
      </c>
      <c r="G1128" s="1265">
        <f t="shared" si="69"/>
        <v>212199.97942378512</v>
      </c>
      <c r="H1128" s="1268">
        <f t="shared" si="70"/>
        <v>212199.97942378512</v>
      </c>
      <c r="I1128" s="727">
        <f t="shared" si="67"/>
        <v>0</v>
      </c>
      <c r="J1128" s="727"/>
      <c r="K1128" s="877"/>
      <c r="L1128" s="733"/>
      <c r="M1128" s="877"/>
      <c r="N1128" s="733"/>
      <c r="O1128" s="733"/>
    </row>
    <row r="1129" spans="2:15">
      <c r="B1129" s="332"/>
      <c r="C1129" s="723">
        <f>IF(D1076="","-",+C1128+1)</f>
        <v>2064</v>
      </c>
      <c r="D1129" s="674">
        <f t="shared" si="68"/>
        <v>1.1641532182693481E-9</v>
      </c>
      <c r="E1129" s="1271">
        <f t="shared" si="71"/>
        <v>1.1641532182693481E-9</v>
      </c>
      <c r="F1129" s="674">
        <f t="shared" si="66"/>
        <v>0</v>
      </c>
      <c r="G1129" s="1265">
        <f t="shared" si="69"/>
        <v>1.2229216756841183E-9</v>
      </c>
      <c r="H1129" s="1268">
        <f t="shared" si="70"/>
        <v>1.2229216756841183E-9</v>
      </c>
      <c r="I1129" s="727">
        <f t="shared" si="67"/>
        <v>0</v>
      </c>
      <c r="J1129" s="727"/>
      <c r="K1129" s="877"/>
      <c r="L1129" s="733"/>
      <c r="M1129" s="877"/>
      <c r="N1129" s="733"/>
      <c r="O1129" s="733"/>
    </row>
    <row r="1130" spans="2:15">
      <c r="B1130" s="332"/>
      <c r="C1130" s="723">
        <f>IF(D1076="","-",+C1129+1)</f>
        <v>2065</v>
      </c>
      <c r="D1130" s="674">
        <f t="shared" si="68"/>
        <v>0</v>
      </c>
      <c r="E1130" s="1271">
        <f t="shared" si="71"/>
        <v>0</v>
      </c>
      <c r="F1130" s="674">
        <f t="shared" si="66"/>
        <v>0</v>
      </c>
      <c r="G1130" s="1265">
        <f t="shared" si="69"/>
        <v>0</v>
      </c>
      <c r="H1130" s="1268">
        <f t="shared" si="70"/>
        <v>0</v>
      </c>
      <c r="I1130" s="727">
        <f t="shared" si="67"/>
        <v>0</v>
      </c>
      <c r="J1130" s="727"/>
      <c r="K1130" s="877"/>
      <c r="L1130" s="733"/>
      <c r="M1130" s="877"/>
      <c r="N1130" s="733"/>
      <c r="O1130" s="733"/>
    </row>
    <row r="1131" spans="2:15">
      <c r="B1131" s="332"/>
      <c r="C1131" s="723">
        <f>IF(D1076="","-",+C1130+1)</f>
        <v>2066</v>
      </c>
      <c r="D1131" s="674">
        <f t="shared" si="68"/>
        <v>0</v>
      </c>
      <c r="E1131" s="1271">
        <f t="shared" si="71"/>
        <v>0</v>
      </c>
      <c r="F1131" s="674">
        <f t="shared" si="66"/>
        <v>0</v>
      </c>
      <c r="G1131" s="1265">
        <f t="shared" si="69"/>
        <v>0</v>
      </c>
      <c r="H1131" s="1268">
        <f t="shared" si="70"/>
        <v>0</v>
      </c>
      <c r="I1131" s="727">
        <f t="shared" si="67"/>
        <v>0</v>
      </c>
      <c r="J1131" s="727"/>
      <c r="K1131" s="877"/>
      <c r="L1131" s="733"/>
      <c r="M1131" s="877"/>
      <c r="N1131" s="733"/>
      <c r="O1131" s="733"/>
    </row>
    <row r="1132" spans="2:15">
      <c r="B1132" s="332"/>
      <c r="C1132" s="723">
        <f>IF(D1076="","-",+C1131+1)</f>
        <v>2067</v>
      </c>
      <c r="D1132" s="674">
        <f t="shared" si="68"/>
        <v>0</v>
      </c>
      <c r="E1132" s="1271">
        <f t="shared" si="71"/>
        <v>0</v>
      </c>
      <c r="F1132" s="674">
        <f t="shared" si="66"/>
        <v>0</v>
      </c>
      <c r="G1132" s="1265">
        <f t="shared" si="69"/>
        <v>0</v>
      </c>
      <c r="H1132" s="1268">
        <f t="shared" si="70"/>
        <v>0</v>
      </c>
      <c r="I1132" s="727">
        <f t="shared" si="67"/>
        <v>0</v>
      </c>
      <c r="J1132" s="727"/>
      <c r="K1132" s="877"/>
      <c r="L1132" s="733"/>
      <c r="M1132" s="877"/>
      <c r="N1132" s="733"/>
      <c r="O1132" s="733"/>
    </row>
    <row r="1133" spans="2:15">
      <c r="B1133" s="332"/>
      <c r="C1133" s="723">
        <f>IF(D1076="","-",+C1132+1)</f>
        <v>2068</v>
      </c>
      <c r="D1133" s="674">
        <f t="shared" si="68"/>
        <v>0</v>
      </c>
      <c r="E1133" s="1271">
        <f t="shared" si="71"/>
        <v>0</v>
      </c>
      <c r="F1133" s="674">
        <f t="shared" si="66"/>
        <v>0</v>
      </c>
      <c r="G1133" s="1265">
        <f t="shared" si="69"/>
        <v>0</v>
      </c>
      <c r="H1133" s="1268">
        <f t="shared" si="70"/>
        <v>0</v>
      </c>
      <c r="I1133" s="727">
        <f t="shared" si="67"/>
        <v>0</v>
      </c>
      <c r="J1133" s="727"/>
      <c r="K1133" s="877"/>
      <c r="L1133" s="733"/>
      <c r="M1133" s="877"/>
      <c r="N1133" s="733"/>
      <c r="O1133" s="733"/>
    </row>
    <row r="1134" spans="2:15">
      <c r="B1134" s="332"/>
      <c r="C1134" s="723">
        <f>IF(D1076="","-",+C1133+1)</f>
        <v>2069</v>
      </c>
      <c r="D1134" s="674">
        <f t="shared" si="68"/>
        <v>0</v>
      </c>
      <c r="E1134" s="1271">
        <f t="shared" si="71"/>
        <v>0</v>
      </c>
      <c r="F1134" s="674">
        <f t="shared" si="66"/>
        <v>0</v>
      </c>
      <c r="G1134" s="1265">
        <f t="shared" si="69"/>
        <v>0</v>
      </c>
      <c r="H1134" s="1268">
        <f t="shared" si="70"/>
        <v>0</v>
      </c>
      <c r="I1134" s="727">
        <f t="shared" si="67"/>
        <v>0</v>
      </c>
      <c r="J1134" s="727"/>
      <c r="K1134" s="877"/>
      <c r="L1134" s="733"/>
      <c r="M1134" s="877"/>
      <c r="N1134" s="733"/>
      <c r="O1134" s="733"/>
    </row>
    <row r="1135" spans="2:15">
      <c r="B1135" s="332"/>
      <c r="C1135" s="723">
        <f>IF(D1076="","-",+C1134+1)</f>
        <v>2070</v>
      </c>
      <c r="D1135" s="674">
        <f t="shared" si="68"/>
        <v>0</v>
      </c>
      <c r="E1135" s="1271">
        <f t="shared" si="71"/>
        <v>0</v>
      </c>
      <c r="F1135" s="674">
        <f t="shared" si="66"/>
        <v>0</v>
      </c>
      <c r="G1135" s="1265">
        <f t="shared" si="69"/>
        <v>0</v>
      </c>
      <c r="H1135" s="1268">
        <f t="shared" si="70"/>
        <v>0</v>
      </c>
      <c r="I1135" s="727">
        <f t="shared" si="67"/>
        <v>0</v>
      </c>
      <c r="J1135" s="727"/>
      <c r="K1135" s="877"/>
      <c r="L1135" s="733"/>
      <c r="M1135" s="877"/>
      <c r="N1135" s="733"/>
      <c r="O1135" s="733"/>
    </row>
    <row r="1136" spans="2:15">
      <c r="B1136" s="332"/>
      <c r="C1136" s="723">
        <f>IF(D1076="","-",+C1135+1)</f>
        <v>2071</v>
      </c>
      <c r="D1136" s="674">
        <f t="shared" si="68"/>
        <v>0</v>
      </c>
      <c r="E1136" s="1271">
        <f t="shared" si="71"/>
        <v>0</v>
      </c>
      <c r="F1136" s="674">
        <f t="shared" si="66"/>
        <v>0</v>
      </c>
      <c r="G1136" s="1265">
        <f t="shared" si="69"/>
        <v>0</v>
      </c>
      <c r="H1136" s="1268">
        <f t="shared" si="70"/>
        <v>0</v>
      </c>
      <c r="I1136" s="727">
        <f t="shared" si="67"/>
        <v>0</v>
      </c>
      <c r="J1136" s="727"/>
      <c r="K1136" s="877"/>
      <c r="L1136" s="733"/>
      <c r="M1136" s="877"/>
      <c r="N1136" s="733"/>
      <c r="O1136" s="733"/>
    </row>
    <row r="1137" spans="1:16">
      <c r="B1137" s="332"/>
      <c r="C1137" s="723">
        <f>IF(D1076="","-",+C1136+1)</f>
        <v>2072</v>
      </c>
      <c r="D1137" s="674">
        <f t="shared" si="68"/>
        <v>0</v>
      </c>
      <c r="E1137" s="1271">
        <f t="shared" si="71"/>
        <v>0</v>
      </c>
      <c r="F1137" s="674">
        <f t="shared" si="66"/>
        <v>0</v>
      </c>
      <c r="G1137" s="1265">
        <f t="shared" si="69"/>
        <v>0</v>
      </c>
      <c r="H1137" s="1268">
        <f t="shared" si="70"/>
        <v>0</v>
      </c>
      <c r="I1137" s="727">
        <f t="shared" si="67"/>
        <v>0</v>
      </c>
      <c r="J1137" s="727"/>
      <c r="K1137" s="877"/>
      <c r="L1137" s="733"/>
      <c r="M1137" s="877"/>
      <c r="N1137" s="733"/>
      <c r="O1137" s="733"/>
    </row>
    <row r="1138" spans="1:16">
      <c r="B1138" s="332"/>
      <c r="C1138" s="723">
        <f>IF(D1076="","-",+C1137+1)</f>
        <v>2073</v>
      </c>
      <c r="D1138" s="674">
        <f t="shared" si="68"/>
        <v>0</v>
      </c>
      <c r="E1138" s="1271">
        <f t="shared" si="71"/>
        <v>0</v>
      </c>
      <c r="F1138" s="674">
        <f t="shared" si="66"/>
        <v>0</v>
      </c>
      <c r="G1138" s="1265">
        <f t="shared" si="69"/>
        <v>0</v>
      </c>
      <c r="H1138" s="1268">
        <f t="shared" si="70"/>
        <v>0</v>
      </c>
      <c r="I1138" s="727">
        <f t="shared" si="67"/>
        <v>0</v>
      </c>
      <c r="J1138" s="727"/>
      <c r="K1138" s="877"/>
      <c r="L1138" s="733"/>
      <c r="M1138" s="877"/>
      <c r="N1138" s="733"/>
      <c r="O1138" s="733"/>
    </row>
    <row r="1139" spans="1:16">
      <c r="B1139" s="332"/>
      <c r="C1139" s="723">
        <f>IF(D1076="","-",+C1138+1)</f>
        <v>2074</v>
      </c>
      <c r="D1139" s="674">
        <f t="shared" si="68"/>
        <v>0</v>
      </c>
      <c r="E1139" s="1271">
        <f t="shared" si="71"/>
        <v>0</v>
      </c>
      <c r="F1139" s="674">
        <f t="shared" si="66"/>
        <v>0</v>
      </c>
      <c r="G1139" s="1265">
        <f t="shared" si="69"/>
        <v>0</v>
      </c>
      <c r="H1139" s="1268">
        <f t="shared" si="70"/>
        <v>0</v>
      </c>
      <c r="I1139" s="727">
        <f t="shared" si="67"/>
        <v>0</v>
      </c>
      <c r="J1139" s="727"/>
      <c r="K1139" s="877"/>
      <c r="L1139" s="733"/>
      <c r="M1139" s="877"/>
      <c r="N1139" s="733"/>
      <c r="O1139" s="733"/>
    </row>
    <row r="1140" spans="1:16">
      <c r="B1140" s="332"/>
      <c r="C1140" s="723">
        <f>IF(D1076="","-",+C1139+1)</f>
        <v>2075</v>
      </c>
      <c r="D1140" s="674">
        <f t="shared" si="68"/>
        <v>0</v>
      </c>
      <c r="E1140" s="1271">
        <f t="shared" si="71"/>
        <v>0</v>
      </c>
      <c r="F1140" s="674">
        <f t="shared" si="66"/>
        <v>0</v>
      </c>
      <c r="G1140" s="1265">
        <f t="shared" si="69"/>
        <v>0</v>
      </c>
      <c r="H1140" s="1268">
        <f t="shared" si="70"/>
        <v>0</v>
      </c>
      <c r="I1140" s="727">
        <f t="shared" si="67"/>
        <v>0</v>
      </c>
      <c r="J1140" s="727"/>
      <c r="K1140" s="877"/>
      <c r="L1140" s="733"/>
      <c r="M1140" s="877"/>
      <c r="N1140" s="733"/>
      <c r="O1140" s="733"/>
    </row>
    <row r="1141" spans="1:16" ht="13.5" thickBot="1">
      <c r="B1141" s="332"/>
      <c r="C1141" s="735">
        <f>IF(D1076="","-",+C1140+1)</f>
        <v>2076</v>
      </c>
      <c r="D1141" s="736">
        <f t="shared" si="68"/>
        <v>0</v>
      </c>
      <c r="E1141" s="1295">
        <f t="shared" si="71"/>
        <v>0</v>
      </c>
      <c r="F1141" s="736">
        <f t="shared" si="66"/>
        <v>0</v>
      </c>
      <c r="G1141" s="1275">
        <f t="shared" si="69"/>
        <v>0</v>
      </c>
      <c r="H1141" s="1275">
        <f t="shared" si="70"/>
        <v>0</v>
      </c>
      <c r="I1141" s="739">
        <f t="shared" si="67"/>
        <v>0</v>
      </c>
      <c r="J1141" s="727"/>
      <c r="K1141" s="878"/>
      <c r="L1141" s="741"/>
      <c r="M1141" s="878"/>
      <c r="N1141" s="741"/>
      <c r="O1141" s="741"/>
    </row>
    <row r="1142" spans="1:16">
      <c r="B1142" s="332"/>
      <c r="C1142" s="674" t="s">
        <v>288</v>
      </c>
      <c r="D1142" s="1246"/>
      <c r="E1142" s="1246">
        <f>SUM(E1082:E1141)</f>
        <v>9292117.0000000019</v>
      </c>
      <c r="F1142" s="1246"/>
      <c r="G1142" s="1246">
        <f>SUM(G1082:G1141)</f>
        <v>31808055.567717284</v>
      </c>
      <c r="H1142" s="1246">
        <f>SUM(H1082:H1141)</f>
        <v>31808055.567717284</v>
      </c>
      <c r="I1142" s="1246">
        <f>SUM(I1082:I1141)</f>
        <v>0</v>
      </c>
      <c r="J1142" s="1246"/>
      <c r="K1142" s="1246"/>
      <c r="L1142" s="1246"/>
      <c r="M1142" s="1246"/>
      <c r="N1142" s="1246"/>
      <c r="O1142" s="541"/>
    </row>
    <row r="1143" spans="1:16">
      <c r="B1143" s="332"/>
      <c r="D1143" s="564"/>
      <c r="E1143" s="541"/>
      <c r="F1143" s="541"/>
      <c r="G1143" s="541"/>
      <c r="H1143" s="1245"/>
      <c r="I1143" s="1245"/>
      <c r="J1143" s="1246"/>
      <c r="K1143" s="1245"/>
      <c r="L1143" s="1245"/>
      <c r="M1143" s="1245"/>
      <c r="N1143" s="1245"/>
      <c r="O1143" s="541"/>
    </row>
    <row r="1144" spans="1:16">
      <c r="B1144" s="332"/>
      <c r="C1144" s="541" t="s">
        <v>601</v>
      </c>
      <c r="D1144" s="564"/>
      <c r="E1144" s="541"/>
      <c r="F1144" s="541"/>
      <c r="G1144" s="541"/>
      <c r="H1144" s="1245"/>
      <c r="I1144" s="1245"/>
      <c r="J1144" s="1246"/>
      <c r="K1144" s="1245"/>
      <c r="L1144" s="1245"/>
      <c r="M1144" s="1245"/>
      <c r="N1144" s="1245"/>
      <c r="O1144" s="541"/>
    </row>
    <row r="1145" spans="1:16">
      <c r="B1145" s="332"/>
      <c r="D1145" s="564"/>
      <c r="E1145" s="541"/>
      <c r="F1145" s="541"/>
      <c r="G1145" s="541"/>
      <c r="H1145" s="1245"/>
      <c r="I1145" s="1245"/>
      <c r="J1145" s="1246"/>
      <c r="K1145" s="1245"/>
      <c r="L1145" s="1245"/>
      <c r="M1145" s="1245"/>
      <c r="N1145" s="1245"/>
      <c r="O1145" s="541"/>
    </row>
    <row r="1146" spans="1:16">
      <c r="B1146" s="332"/>
      <c r="C1146" s="577" t="s">
        <v>602</v>
      </c>
      <c r="D1146" s="674"/>
      <c r="E1146" s="674"/>
      <c r="F1146" s="674"/>
      <c r="G1146" s="1246"/>
      <c r="H1146" s="1246"/>
      <c r="I1146" s="675"/>
      <c r="J1146" s="675"/>
      <c r="K1146" s="675"/>
      <c r="L1146" s="675"/>
      <c r="M1146" s="675"/>
      <c r="N1146" s="675"/>
      <c r="O1146" s="541"/>
    </row>
    <row r="1147" spans="1:16">
      <c r="B1147" s="332"/>
      <c r="C1147" s="577" t="s">
        <v>476</v>
      </c>
      <c r="D1147" s="674"/>
      <c r="E1147" s="674"/>
      <c r="F1147" s="674"/>
      <c r="G1147" s="1246"/>
      <c r="H1147" s="1246"/>
      <c r="I1147" s="675"/>
      <c r="J1147" s="675"/>
      <c r="K1147" s="675"/>
      <c r="L1147" s="675"/>
      <c r="M1147" s="675"/>
      <c r="N1147" s="675"/>
      <c r="O1147" s="541"/>
    </row>
    <row r="1148" spans="1:16">
      <c r="B1148" s="332"/>
      <c r="C1148" s="577" t="s">
        <v>289</v>
      </c>
      <c r="D1148" s="674"/>
      <c r="E1148" s="674"/>
      <c r="F1148" s="674"/>
      <c r="G1148" s="1246"/>
      <c r="H1148" s="1246"/>
      <c r="I1148" s="675"/>
      <c r="J1148" s="675"/>
      <c r="K1148" s="675"/>
      <c r="L1148" s="675"/>
      <c r="M1148" s="675"/>
      <c r="N1148" s="675"/>
      <c r="O1148" s="541"/>
    </row>
    <row r="1149" spans="1:16">
      <c r="B1149" s="332"/>
      <c r="C1149" s="673"/>
      <c r="D1149" s="674"/>
      <c r="E1149" s="674"/>
      <c r="F1149" s="674"/>
      <c r="G1149" s="1246"/>
      <c r="H1149" s="1246"/>
      <c r="I1149" s="675"/>
      <c r="J1149" s="675"/>
      <c r="K1149" s="675"/>
      <c r="L1149" s="675"/>
      <c r="M1149" s="675"/>
      <c r="N1149" s="675"/>
      <c r="O1149" s="541"/>
    </row>
    <row r="1150" spans="1:16">
      <c r="B1150" s="332"/>
      <c r="C1150" s="1543" t="s">
        <v>460</v>
      </c>
      <c r="D1150" s="1543"/>
      <c r="E1150" s="1543"/>
      <c r="F1150" s="1543"/>
      <c r="G1150" s="1543"/>
      <c r="H1150" s="1543"/>
      <c r="I1150" s="1543"/>
      <c r="J1150" s="1543"/>
      <c r="K1150" s="1543"/>
      <c r="L1150" s="1543"/>
      <c r="M1150" s="1543"/>
      <c r="N1150" s="1543"/>
      <c r="O1150" s="1543"/>
    </row>
    <row r="1151" spans="1:16">
      <c r="B1151" s="332"/>
      <c r="C1151" s="1543"/>
      <c r="D1151" s="1543"/>
      <c r="E1151" s="1543"/>
      <c r="F1151" s="1543"/>
      <c r="G1151" s="1543"/>
      <c r="H1151" s="1543"/>
      <c r="I1151" s="1543"/>
      <c r="J1151" s="1543"/>
      <c r="K1151" s="1543"/>
      <c r="L1151" s="1543"/>
      <c r="M1151" s="1543"/>
      <c r="N1151" s="1543"/>
      <c r="O1151" s="1543"/>
    </row>
    <row r="1152" spans="1:16" ht="20.25">
      <c r="A1152" s="676" t="s">
        <v>972</v>
      </c>
      <c r="B1152" s="541"/>
      <c r="C1152" s="656"/>
      <c r="D1152" s="564"/>
      <c r="E1152" s="541"/>
      <c r="F1152" s="646"/>
      <c r="G1152" s="541"/>
      <c r="H1152" s="1245"/>
      <c r="K1152" s="677"/>
      <c r="L1152" s="677"/>
      <c r="M1152" s="677"/>
      <c r="N1152" s="592" t="str">
        <f>"Page "&amp;SUM(P$6:P1152)&amp;" of "</f>
        <v xml:space="preserve">Page 14 of </v>
      </c>
      <c r="O1152" s="593">
        <f>COUNT(P$6:P$59606)</f>
        <v>14</v>
      </c>
      <c r="P1152" s="541">
        <v>1</v>
      </c>
    </row>
    <row r="1153" spans="2:15">
      <c r="B1153" s="541"/>
      <c r="C1153" s="541"/>
      <c r="D1153" s="564"/>
      <c r="E1153" s="541"/>
      <c r="F1153" s="541"/>
      <c r="G1153" s="541"/>
      <c r="H1153" s="1245"/>
      <c r="I1153" s="541"/>
      <c r="J1153" s="589"/>
      <c r="K1153" s="541"/>
      <c r="L1153" s="541"/>
      <c r="M1153" s="541"/>
      <c r="N1153" s="541"/>
      <c r="O1153" s="541"/>
    </row>
    <row r="1154" spans="2:15" ht="18">
      <c r="B1154" s="596" t="s">
        <v>174</v>
      </c>
      <c r="C1154" s="678" t="s">
        <v>290</v>
      </c>
      <c r="D1154" s="564"/>
      <c r="E1154" s="541"/>
      <c r="F1154" s="541"/>
      <c r="G1154" s="541"/>
      <c r="H1154" s="1245"/>
      <c r="I1154" s="1245"/>
      <c r="J1154" s="1246"/>
      <c r="K1154" s="1245"/>
      <c r="L1154" s="1245"/>
      <c r="M1154" s="1245"/>
      <c r="N1154" s="1245"/>
      <c r="O1154" s="541"/>
    </row>
    <row r="1155" spans="2:15" ht="18.75">
      <c r="B1155" s="596"/>
      <c r="C1155" s="595"/>
      <c r="D1155" s="564"/>
      <c r="E1155" s="541"/>
      <c r="F1155" s="541"/>
      <c r="G1155" s="541"/>
      <c r="H1155" s="1245"/>
      <c r="I1155" s="1245"/>
      <c r="J1155" s="1246"/>
      <c r="K1155" s="1245"/>
      <c r="L1155" s="1245"/>
      <c r="M1155" s="1245"/>
      <c r="N1155" s="1245"/>
      <c r="O1155" s="541"/>
    </row>
    <row r="1156" spans="2:15" ht="18.75">
      <c r="B1156" s="596"/>
      <c r="C1156" s="595" t="s">
        <v>291</v>
      </c>
      <c r="D1156" s="564"/>
      <c r="E1156" s="541"/>
      <c r="F1156" s="541"/>
      <c r="G1156" s="541"/>
      <c r="H1156" s="1245"/>
      <c r="I1156" s="1245"/>
      <c r="J1156" s="1246"/>
      <c r="K1156" s="1245"/>
      <c r="L1156" s="1245"/>
      <c r="M1156" s="1245"/>
      <c r="N1156" s="1245"/>
      <c r="O1156" s="541"/>
    </row>
    <row r="1157" spans="2:15" ht="15.75" thickBot="1">
      <c r="B1157" s="332"/>
      <c r="C1157" s="398"/>
      <c r="D1157" s="564"/>
      <c r="E1157" s="541"/>
      <c r="F1157" s="541"/>
      <c r="G1157" s="541"/>
      <c r="H1157" s="1245"/>
      <c r="I1157" s="1245"/>
      <c r="J1157" s="1246"/>
      <c r="K1157" s="1245"/>
      <c r="L1157" s="1245"/>
      <c r="M1157" s="1245"/>
      <c r="N1157" s="1245"/>
      <c r="O1157" s="541"/>
    </row>
    <row r="1158" spans="2:15" ht="15.75">
      <c r="B1158" s="332"/>
      <c r="C1158" s="597" t="s">
        <v>292</v>
      </c>
      <c r="D1158" s="564"/>
      <c r="E1158" s="541"/>
      <c r="F1158" s="541"/>
      <c r="G1158" s="1247"/>
      <c r="H1158" s="541" t="s">
        <v>271</v>
      </c>
      <c r="I1158" s="541"/>
      <c r="J1158" s="589"/>
      <c r="K1158" s="679" t="s">
        <v>296</v>
      </c>
      <c r="L1158" s="680"/>
      <c r="M1158" s="681"/>
      <c r="N1158" s="1248">
        <f>VLOOKUP(I1164,C1171:O1230,5)</f>
        <v>7412589.9076232221</v>
      </c>
      <c r="O1158" s="541"/>
    </row>
    <row r="1159" spans="2:15" ht="15.75">
      <c r="B1159" s="332"/>
      <c r="C1159" s="597"/>
      <c r="D1159" s="564"/>
      <c r="E1159" s="541"/>
      <c r="F1159" s="541"/>
      <c r="G1159" s="541"/>
      <c r="H1159" s="1249"/>
      <c r="I1159" s="1249"/>
      <c r="J1159" s="1250"/>
      <c r="K1159" s="684" t="s">
        <v>297</v>
      </c>
      <c r="L1159" s="1251"/>
      <c r="M1159" s="589"/>
      <c r="N1159" s="1252">
        <f>VLOOKUP(I1164,C1171:O1230,6)</f>
        <v>7412589.9076232221</v>
      </c>
      <c r="O1159" s="541"/>
    </row>
    <row r="1160" spans="2:15" ht="13.5" thickBot="1">
      <c r="B1160" s="332"/>
      <c r="C1160" s="685" t="s">
        <v>293</v>
      </c>
      <c r="D1160" s="1544" t="s">
        <v>986</v>
      </c>
      <c r="E1160" s="1544"/>
      <c r="F1160" s="1544"/>
      <c r="G1160" s="1544"/>
      <c r="H1160" s="1544"/>
      <c r="I1160" s="1245"/>
      <c r="J1160" s="1246"/>
      <c r="K1160" s="1253" t="s">
        <v>450</v>
      </c>
      <c r="L1160" s="1254"/>
      <c r="M1160" s="1254"/>
      <c r="N1160" s="1255">
        <f>+N1159-N1158</f>
        <v>0</v>
      </c>
      <c r="O1160" s="541"/>
    </row>
    <row r="1161" spans="2:15">
      <c r="B1161" s="332"/>
      <c r="C1161" s="687"/>
      <c r="D1161" s="688"/>
      <c r="E1161" s="672"/>
      <c r="F1161" s="672"/>
      <c r="G1161" s="689"/>
      <c r="H1161" s="1245"/>
      <c r="I1161" s="1245"/>
      <c r="J1161" s="1246"/>
      <c r="K1161" s="1245"/>
      <c r="L1161" s="1245"/>
      <c r="M1161" s="1245"/>
      <c r="N1161" s="1245"/>
      <c r="O1161" s="541"/>
    </row>
    <row r="1162" spans="2:15" ht="13.5" thickBot="1">
      <c r="B1162" s="332"/>
      <c r="C1162" s="690"/>
      <c r="D1162" s="691"/>
      <c r="E1162" s="689"/>
      <c r="F1162" s="689"/>
      <c r="G1162" s="689"/>
      <c r="H1162" s="689"/>
      <c r="I1162" s="689"/>
      <c r="J1162" s="692"/>
      <c r="K1162" s="689"/>
      <c r="L1162" s="689"/>
      <c r="M1162" s="689"/>
      <c r="N1162" s="689"/>
      <c r="O1162" s="577"/>
    </row>
    <row r="1163" spans="2:15" ht="13.5" thickBot="1">
      <c r="B1163" s="332"/>
      <c r="C1163" s="694" t="s">
        <v>294</v>
      </c>
      <c r="D1163" s="695"/>
      <c r="E1163" s="695"/>
      <c r="F1163" s="695"/>
      <c r="G1163" s="695"/>
      <c r="H1163" s="695"/>
      <c r="I1163" s="696"/>
      <c r="J1163" s="697"/>
      <c r="K1163" s="541"/>
      <c r="L1163" s="541"/>
      <c r="M1163" s="541"/>
      <c r="N1163" s="541"/>
      <c r="O1163" s="698"/>
    </row>
    <row r="1164" spans="2:15" ht="15">
      <c r="C1164" s="700" t="s">
        <v>272</v>
      </c>
      <c r="D1164" s="1256">
        <v>70999286</v>
      </c>
      <c r="E1164" s="656" t="s">
        <v>273</v>
      </c>
      <c r="G1164" s="701"/>
      <c r="H1164" s="701"/>
      <c r="I1164" s="702">
        <v>2018</v>
      </c>
      <c r="J1164" s="587"/>
      <c r="K1164" s="1542" t="s">
        <v>459</v>
      </c>
      <c r="L1164" s="1542"/>
      <c r="M1164" s="1542"/>
      <c r="N1164" s="1542"/>
      <c r="O1164" s="1542"/>
    </row>
    <row r="1165" spans="2:15">
      <c r="C1165" s="700" t="s">
        <v>275</v>
      </c>
      <c r="D1165" s="1294">
        <v>2018</v>
      </c>
      <c r="E1165" s="700" t="s">
        <v>276</v>
      </c>
      <c r="F1165" s="701"/>
      <c r="H1165" s="332"/>
      <c r="I1165" s="875">
        <f>IF(G1158="",0,$F$15)</f>
        <v>0</v>
      </c>
      <c r="J1165" s="703"/>
      <c r="K1165" s="1246" t="s">
        <v>459</v>
      </c>
    </row>
    <row r="1166" spans="2:15">
      <c r="C1166" s="700" t="s">
        <v>277</v>
      </c>
      <c r="D1166" s="1256">
        <v>10</v>
      </c>
      <c r="E1166" s="700" t="s">
        <v>278</v>
      </c>
      <c r="F1166" s="701"/>
      <c r="H1166" s="332"/>
      <c r="I1166" s="704">
        <f>$G$70</f>
        <v>0.1009634410531228</v>
      </c>
      <c r="J1166" s="705"/>
      <c r="K1166" s="332" t="str">
        <f>"          INPUT PROJECTED ARR (WITH &amp; WITHOUT INCENTIVES) FROM EACH PRIOR YEAR"</f>
        <v xml:space="preserve">          INPUT PROJECTED ARR (WITH &amp; WITHOUT INCENTIVES) FROM EACH PRIOR YEAR</v>
      </c>
    </row>
    <row r="1167" spans="2:15">
      <c r="C1167" s="700" t="s">
        <v>279</v>
      </c>
      <c r="D1167" s="706">
        <f>G$79</f>
        <v>46</v>
      </c>
      <c r="E1167" s="700" t="s">
        <v>280</v>
      </c>
      <c r="F1167" s="701"/>
      <c r="H1167" s="332"/>
      <c r="I1167" s="704">
        <f>IF(G1158="",I1166,$G$67)</f>
        <v>0.1009634410531228</v>
      </c>
      <c r="J1167" s="707"/>
      <c r="K1167" s="332" t="s">
        <v>357</v>
      </c>
    </row>
    <row r="1168" spans="2:15" ht="13.5" thickBot="1">
      <c r="C1168" s="700" t="s">
        <v>281</v>
      </c>
      <c r="D1168" s="874" t="s">
        <v>974</v>
      </c>
      <c r="E1168" s="708" t="s">
        <v>282</v>
      </c>
      <c r="F1168" s="709"/>
      <c r="G1168" s="710"/>
      <c r="H1168" s="710"/>
      <c r="I1168" s="1255">
        <f>IF(D1164=0,0,D1164/D1167)</f>
        <v>1543462.7391304348</v>
      </c>
      <c r="J1168" s="1246"/>
      <c r="K1168" s="1246" t="s">
        <v>363</v>
      </c>
      <c r="L1168" s="1246"/>
      <c r="M1168" s="1246"/>
      <c r="N1168" s="1246"/>
      <c r="O1168" s="589"/>
    </row>
    <row r="1169" spans="1:15" ht="51">
      <c r="A1169" s="528"/>
      <c r="B1169" s="528"/>
      <c r="C1169" s="711" t="s">
        <v>272</v>
      </c>
      <c r="D1169" s="1258" t="s">
        <v>283</v>
      </c>
      <c r="E1169" s="1259" t="s">
        <v>284</v>
      </c>
      <c r="F1169" s="1258" t="s">
        <v>285</v>
      </c>
      <c r="G1169" s="1259" t="s">
        <v>356</v>
      </c>
      <c r="H1169" s="1260" t="s">
        <v>356</v>
      </c>
      <c r="I1169" s="711" t="s">
        <v>295</v>
      </c>
      <c r="J1169" s="715"/>
      <c r="K1169" s="1259" t="s">
        <v>365</v>
      </c>
      <c r="L1169" s="1261"/>
      <c r="M1169" s="1259" t="s">
        <v>365</v>
      </c>
      <c r="N1169" s="1261"/>
      <c r="O1169" s="1261"/>
    </row>
    <row r="1170" spans="1:15" ht="13.5" thickBot="1">
      <c r="B1170" s="332"/>
      <c r="C1170" s="717" t="s">
        <v>177</v>
      </c>
      <c r="D1170" s="718" t="s">
        <v>178</v>
      </c>
      <c r="E1170" s="717" t="s">
        <v>37</v>
      </c>
      <c r="F1170" s="718" t="s">
        <v>178</v>
      </c>
      <c r="G1170" s="1262" t="s">
        <v>298</v>
      </c>
      <c r="H1170" s="1263" t="s">
        <v>300</v>
      </c>
      <c r="I1170" s="721" t="s">
        <v>389</v>
      </c>
      <c r="J1170" s="722"/>
      <c r="K1170" s="1262" t="s">
        <v>287</v>
      </c>
      <c r="L1170" s="1264"/>
      <c r="M1170" s="1262" t="s">
        <v>300</v>
      </c>
      <c r="N1170" s="1264"/>
      <c r="O1170" s="1264"/>
    </row>
    <row r="1171" spans="1:15">
      <c r="B1171" s="332"/>
      <c r="C1171" s="1269">
        <f>IF(D1165= "","-",D1165)</f>
        <v>2018</v>
      </c>
      <c r="D1171" s="674">
        <f>+D1164</f>
        <v>70999286</v>
      </c>
      <c r="E1171" s="1265">
        <f>+I1168/12*(12-D1166)</f>
        <v>257243.78985507248</v>
      </c>
      <c r="F1171" s="674">
        <f t="shared" ref="F1171:F1230" si="72">+D1171-E1171</f>
        <v>70742042.210144922</v>
      </c>
      <c r="G1171" s="1266">
        <f>+$I$988*((D1171+F1171)/2)+E1171</f>
        <v>7412589.9076232221</v>
      </c>
      <c r="H1171" s="1267">
        <f>+$I$989*((D1171+F1171)/2)+E1171</f>
        <v>7412589.9076232221</v>
      </c>
      <c r="I1171" s="727">
        <f t="shared" ref="I1171:I1230" si="73">+H1171-G1171</f>
        <v>0</v>
      </c>
      <c r="J1171" s="727"/>
      <c r="K1171" s="876"/>
      <c r="L1171" s="729"/>
      <c r="M1171" s="876"/>
      <c r="N1171" s="729"/>
      <c r="O1171" s="729"/>
    </row>
    <row r="1172" spans="1:15">
      <c r="B1172" s="332"/>
      <c r="C1172" s="723">
        <f>IF(D1165="","-",+C1171+1)</f>
        <v>2019</v>
      </c>
      <c r="D1172" s="1270">
        <f t="shared" ref="D1172:D1230" si="74">F1171</f>
        <v>70742042.210144922</v>
      </c>
      <c r="E1172" s="1271">
        <f>IF(D1172&gt;$I$1168,$I$1168,D1172)</f>
        <v>1543462.7391304348</v>
      </c>
      <c r="F1172" s="1270">
        <f t="shared" si="72"/>
        <v>69198579.471014485</v>
      </c>
      <c r="G1172" s="1272">
        <f t="shared" ref="G1172:G1230" si="75">+$I$988*((D1172+F1172)/2)+E1172</f>
        <v>8607906.0931519829</v>
      </c>
      <c r="H1172" s="1273">
        <f t="shared" ref="H1172:H1230" si="76">+$I$989*((D1172+F1172)/2)+E1172</f>
        <v>8607906.0931519829</v>
      </c>
      <c r="I1172" s="1279">
        <f t="shared" si="73"/>
        <v>0</v>
      </c>
      <c r="J1172" s="727"/>
      <c r="K1172" s="877"/>
      <c r="L1172" s="733"/>
      <c r="M1172" s="877"/>
      <c r="N1172" s="733"/>
      <c r="O1172" s="733"/>
    </row>
    <row r="1173" spans="1:15">
      <c r="B1173" s="332"/>
      <c r="C1173" s="723">
        <f>IF(D1165="","-",+C1172+1)</f>
        <v>2020</v>
      </c>
      <c r="D1173" s="674">
        <f t="shared" si="74"/>
        <v>69198579.471014485</v>
      </c>
      <c r="E1173" s="1271">
        <f t="shared" ref="E1173:E1230" si="77">IF(D1173&gt;$I$1168,$I$1168,D1173)</f>
        <v>1543462.7391304348</v>
      </c>
      <c r="F1173" s="674">
        <f t="shared" si="72"/>
        <v>67655116.731884047</v>
      </c>
      <c r="G1173" s="1265">
        <f t="shared" si="75"/>
        <v>8452072.7838720959</v>
      </c>
      <c r="H1173" s="1268">
        <f t="shared" si="76"/>
        <v>8452072.7838720959</v>
      </c>
      <c r="I1173" s="727">
        <f t="shared" si="73"/>
        <v>0</v>
      </c>
      <c r="J1173" s="727"/>
      <c r="K1173" s="1290"/>
      <c r="L1173" s="1278"/>
      <c r="M1173" s="1290"/>
      <c r="N1173" s="733"/>
      <c r="O1173" s="733"/>
    </row>
    <row r="1174" spans="1:15">
      <c r="B1174" s="332"/>
      <c r="C1174" s="723">
        <f>IF(D1165="","-",+C1173+1)</f>
        <v>2021</v>
      </c>
      <c r="D1174" s="674">
        <f t="shared" si="74"/>
        <v>67655116.731884047</v>
      </c>
      <c r="E1174" s="1271">
        <f t="shared" si="77"/>
        <v>1543462.7391304348</v>
      </c>
      <c r="F1174" s="674">
        <f t="shared" si="72"/>
        <v>66111653.99275361</v>
      </c>
      <c r="G1174" s="1265">
        <f t="shared" si="75"/>
        <v>8296239.4745922079</v>
      </c>
      <c r="H1174" s="1268">
        <f t="shared" si="76"/>
        <v>8296239.4745922079</v>
      </c>
      <c r="I1174" s="727">
        <f t="shared" si="73"/>
        <v>0</v>
      </c>
      <c r="J1174" s="727"/>
      <c r="K1174" s="877"/>
      <c r="L1174" s="733"/>
      <c r="M1174" s="877"/>
      <c r="N1174" s="733"/>
      <c r="O1174" s="733"/>
    </row>
    <row r="1175" spans="1:15">
      <c r="B1175" s="332"/>
      <c r="C1175" s="723">
        <f>IF(D1165="","-",+C1174+1)</f>
        <v>2022</v>
      </c>
      <c r="D1175" s="674">
        <f t="shared" si="74"/>
        <v>66111653.99275361</v>
      </c>
      <c r="E1175" s="1271">
        <f t="shared" si="77"/>
        <v>1543462.7391304348</v>
      </c>
      <c r="F1175" s="674">
        <f t="shared" si="72"/>
        <v>64568191.253623173</v>
      </c>
      <c r="G1175" s="1265">
        <f t="shared" si="75"/>
        <v>8140406.1653123209</v>
      </c>
      <c r="H1175" s="1268">
        <f t="shared" si="76"/>
        <v>8140406.1653123209</v>
      </c>
      <c r="I1175" s="727">
        <f t="shared" si="73"/>
        <v>0</v>
      </c>
      <c r="J1175" s="727"/>
      <c r="K1175" s="877"/>
      <c r="L1175" s="733"/>
      <c r="M1175" s="877"/>
      <c r="N1175" s="733"/>
      <c r="O1175" s="733"/>
    </row>
    <row r="1176" spans="1:15">
      <c r="B1176" s="332"/>
      <c r="C1176" s="723">
        <f>IF(D1165="","-",+C1175+1)</f>
        <v>2023</v>
      </c>
      <c r="D1176" s="674">
        <f t="shared" si="74"/>
        <v>64568191.253623173</v>
      </c>
      <c r="E1176" s="1271">
        <f t="shared" si="77"/>
        <v>1543462.7391304348</v>
      </c>
      <c r="F1176" s="674">
        <f t="shared" si="72"/>
        <v>63024728.514492735</v>
      </c>
      <c r="G1176" s="1265">
        <f t="shared" si="75"/>
        <v>7984572.856032433</v>
      </c>
      <c r="H1176" s="1268">
        <f t="shared" si="76"/>
        <v>7984572.856032433</v>
      </c>
      <c r="I1176" s="727">
        <f t="shared" si="73"/>
        <v>0</v>
      </c>
      <c r="J1176" s="727"/>
      <c r="K1176" s="877"/>
      <c r="L1176" s="733"/>
      <c r="M1176" s="877"/>
      <c r="N1176" s="733"/>
      <c r="O1176" s="733"/>
    </row>
    <row r="1177" spans="1:15">
      <c r="B1177" s="332"/>
      <c r="C1177" s="723">
        <f>IF(D1165="","-",+C1176+1)</f>
        <v>2024</v>
      </c>
      <c r="D1177" s="674">
        <f t="shared" si="74"/>
        <v>63024728.514492735</v>
      </c>
      <c r="E1177" s="1271">
        <f t="shared" si="77"/>
        <v>1543462.7391304348</v>
      </c>
      <c r="F1177" s="674">
        <f t="shared" si="72"/>
        <v>61481265.775362298</v>
      </c>
      <c r="G1177" s="1265">
        <f t="shared" si="75"/>
        <v>7828739.546752546</v>
      </c>
      <c r="H1177" s="1268">
        <f t="shared" si="76"/>
        <v>7828739.546752546</v>
      </c>
      <c r="I1177" s="727">
        <f t="shared" si="73"/>
        <v>0</v>
      </c>
      <c r="J1177" s="727"/>
      <c r="K1177" s="877"/>
      <c r="L1177" s="733"/>
      <c r="M1177" s="877"/>
      <c r="N1177" s="733"/>
      <c r="O1177" s="733"/>
    </row>
    <row r="1178" spans="1:15">
      <c r="B1178" s="332"/>
      <c r="C1178" s="1293">
        <f>IF(D1165="","-",+C1177+1)</f>
        <v>2025</v>
      </c>
      <c r="D1178" s="1270">
        <f t="shared" si="74"/>
        <v>61481265.775362298</v>
      </c>
      <c r="E1178" s="1271">
        <f t="shared" si="77"/>
        <v>1543462.7391304348</v>
      </c>
      <c r="F1178" s="1270">
        <f t="shared" si="72"/>
        <v>59937803.036231861</v>
      </c>
      <c r="G1178" s="1272">
        <f t="shared" si="75"/>
        <v>7672906.237472658</v>
      </c>
      <c r="H1178" s="1273">
        <f t="shared" si="76"/>
        <v>7672906.237472658</v>
      </c>
      <c r="I1178" s="1279">
        <f t="shared" si="73"/>
        <v>0</v>
      </c>
      <c r="J1178" s="727"/>
      <c r="K1178" s="877"/>
      <c r="L1178" s="733"/>
      <c r="M1178" s="877"/>
      <c r="N1178" s="733"/>
      <c r="O1178" s="733"/>
    </row>
    <row r="1179" spans="1:15">
      <c r="B1179" s="332"/>
      <c r="C1179" s="723">
        <f>IF(D1165="","-",+C1178+1)</f>
        <v>2026</v>
      </c>
      <c r="D1179" s="674">
        <f t="shared" si="74"/>
        <v>59937803.036231861</v>
      </c>
      <c r="E1179" s="1271">
        <f t="shared" si="77"/>
        <v>1543462.7391304348</v>
      </c>
      <c r="F1179" s="674">
        <f t="shared" si="72"/>
        <v>58394340.297101423</v>
      </c>
      <c r="G1179" s="1265">
        <f t="shared" si="75"/>
        <v>7517072.928192771</v>
      </c>
      <c r="H1179" s="1268">
        <f t="shared" si="76"/>
        <v>7517072.928192771</v>
      </c>
      <c r="I1179" s="727">
        <f t="shared" si="73"/>
        <v>0</v>
      </c>
      <c r="J1179" s="727"/>
      <c r="K1179" s="877"/>
      <c r="L1179" s="733"/>
      <c r="M1179" s="877"/>
      <c r="N1179" s="733"/>
      <c r="O1179" s="733"/>
    </row>
    <row r="1180" spans="1:15">
      <c r="B1180" s="332"/>
      <c r="C1180" s="723">
        <f>IF(D1165="","-",+C1179+1)</f>
        <v>2027</v>
      </c>
      <c r="D1180" s="674">
        <f t="shared" si="74"/>
        <v>58394340.297101423</v>
      </c>
      <c r="E1180" s="1271">
        <f t="shared" si="77"/>
        <v>1543462.7391304348</v>
      </c>
      <c r="F1180" s="674">
        <f t="shared" si="72"/>
        <v>56850877.557970986</v>
      </c>
      <c r="G1180" s="1265">
        <f t="shared" si="75"/>
        <v>7361239.618912884</v>
      </c>
      <c r="H1180" s="1268">
        <f t="shared" si="76"/>
        <v>7361239.618912884</v>
      </c>
      <c r="I1180" s="727">
        <f t="shared" si="73"/>
        <v>0</v>
      </c>
      <c r="J1180" s="727"/>
      <c r="K1180" s="877"/>
      <c r="L1180" s="733"/>
      <c r="M1180" s="877"/>
      <c r="N1180" s="733"/>
      <c r="O1180" s="733"/>
    </row>
    <row r="1181" spans="1:15">
      <c r="B1181" s="332"/>
      <c r="C1181" s="723">
        <f>IF(D1165="","-",+C1180+1)</f>
        <v>2028</v>
      </c>
      <c r="D1181" s="674">
        <f t="shared" si="74"/>
        <v>56850877.557970986</v>
      </c>
      <c r="E1181" s="1271">
        <f t="shared" si="77"/>
        <v>1543462.7391304348</v>
      </c>
      <c r="F1181" s="674">
        <f t="shared" si="72"/>
        <v>55307414.818840548</v>
      </c>
      <c r="G1181" s="1265">
        <f t="shared" si="75"/>
        <v>7205406.3096329961</v>
      </c>
      <c r="H1181" s="1268">
        <f t="shared" si="76"/>
        <v>7205406.3096329961</v>
      </c>
      <c r="I1181" s="727">
        <f t="shared" si="73"/>
        <v>0</v>
      </c>
      <c r="J1181" s="727"/>
      <c r="K1181" s="877"/>
      <c r="L1181" s="733"/>
      <c r="M1181" s="877"/>
      <c r="N1181" s="733"/>
      <c r="O1181" s="733"/>
    </row>
    <row r="1182" spans="1:15">
      <c r="B1182" s="332"/>
      <c r="C1182" s="723">
        <f>IF(D1165="","-",+C1181+1)</f>
        <v>2029</v>
      </c>
      <c r="D1182" s="674">
        <f t="shared" si="74"/>
        <v>55307414.818840548</v>
      </c>
      <c r="E1182" s="1271">
        <f t="shared" si="77"/>
        <v>1543462.7391304348</v>
      </c>
      <c r="F1182" s="674">
        <f t="shared" si="72"/>
        <v>53763952.079710111</v>
      </c>
      <c r="G1182" s="1265">
        <f t="shared" si="75"/>
        <v>7049573.0003531091</v>
      </c>
      <c r="H1182" s="1268">
        <f t="shared" si="76"/>
        <v>7049573.0003531091</v>
      </c>
      <c r="I1182" s="727">
        <f t="shared" si="73"/>
        <v>0</v>
      </c>
      <c r="J1182" s="727"/>
      <c r="K1182" s="877"/>
      <c r="L1182" s="733"/>
      <c r="M1182" s="877"/>
      <c r="N1182" s="733"/>
      <c r="O1182" s="733"/>
    </row>
    <row r="1183" spans="1:15">
      <c r="B1183" s="332"/>
      <c r="C1183" s="723">
        <f>IF(D1165="","-",+C1182+1)</f>
        <v>2030</v>
      </c>
      <c r="D1183" s="674">
        <f t="shared" si="74"/>
        <v>53763952.079710111</v>
      </c>
      <c r="E1183" s="1271">
        <f t="shared" si="77"/>
        <v>1543462.7391304348</v>
      </c>
      <c r="F1183" s="674">
        <f t="shared" si="72"/>
        <v>52220489.340579674</v>
      </c>
      <c r="G1183" s="1265">
        <f t="shared" si="75"/>
        <v>6893739.6910732212</v>
      </c>
      <c r="H1183" s="1268">
        <f t="shared" si="76"/>
        <v>6893739.6910732212</v>
      </c>
      <c r="I1183" s="727">
        <f t="shared" si="73"/>
        <v>0</v>
      </c>
      <c r="J1183" s="727"/>
      <c r="K1183" s="877"/>
      <c r="L1183" s="733"/>
      <c r="M1183" s="877"/>
      <c r="N1183" s="734"/>
      <c r="O1183" s="733"/>
    </row>
    <row r="1184" spans="1:15">
      <c r="B1184" s="332"/>
      <c r="C1184" s="723">
        <f>IF(D1165="","-",+C1183+1)</f>
        <v>2031</v>
      </c>
      <c r="D1184" s="674">
        <f t="shared" si="74"/>
        <v>52220489.340579674</v>
      </c>
      <c r="E1184" s="1271">
        <f t="shared" si="77"/>
        <v>1543462.7391304348</v>
      </c>
      <c r="F1184" s="674">
        <f t="shared" si="72"/>
        <v>50677026.601449236</v>
      </c>
      <c r="G1184" s="1265">
        <f t="shared" si="75"/>
        <v>6737906.3817933341</v>
      </c>
      <c r="H1184" s="1268">
        <f t="shared" si="76"/>
        <v>6737906.3817933341</v>
      </c>
      <c r="I1184" s="727">
        <f t="shared" si="73"/>
        <v>0</v>
      </c>
      <c r="J1184" s="727"/>
      <c r="K1184" s="877"/>
      <c r="L1184" s="733"/>
      <c r="M1184" s="877"/>
      <c r="N1184" s="733"/>
      <c r="O1184" s="733"/>
    </row>
    <row r="1185" spans="2:15">
      <c r="B1185" s="332"/>
      <c r="C1185" s="723">
        <f>IF(D1165="","-",+C1184+1)</f>
        <v>2032</v>
      </c>
      <c r="D1185" s="674">
        <f t="shared" si="74"/>
        <v>50677026.601449236</v>
      </c>
      <c r="E1185" s="1271">
        <f t="shared" si="77"/>
        <v>1543462.7391304348</v>
      </c>
      <c r="F1185" s="674">
        <f t="shared" si="72"/>
        <v>49133563.862318799</v>
      </c>
      <c r="G1185" s="1265">
        <f t="shared" si="75"/>
        <v>6582073.0725134471</v>
      </c>
      <c r="H1185" s="1268">
        <f t="shared" si="76"/>
        <v>6582073.0725134471</v>
      </c>
      <c r="I1185" s="727">
        <f t="shared" si="73"/>
        <v>0</v>
      </c>
      <c r="J1185" s="727"/>
      <c r="K1185" s="877"/>
      <c r="L1185" s="733"/>
      <c r="M1185" s="877"/>
      <c r="N1185" s="733"/>
      <c r="O1185" s="733"/>
    </row>
    <row r="1186" spans="2:15">
      <c r="B1186" s="332"/>
      <c r="C1186" s="723">
        <f>IF(D1165="","-",+C1185+1)</f>
        <v>2033</v>
      </c>
      <c r="D1186" s="674">
        <f t="shared" si="74"/>
        <v>49133563.862318799</v>
      </c>
      <c r="E1186" s="1271">
        <f t="shared" si="77"/>
        <v>1543462.7391304348</v>
      </c>
      <c r="F1186" s="674">
        <f t="shared" si="72"/>
        <v>47590101.123188362</v>
      </c>
      <c r="G1186" s="1265">
        <f t="shared" si="75"/>
        <v>6426239.7632335592</v>
      </c>
      <c r="H1186" s="1268">
        <f t="shared" si="76"/>
        <v>6426239.7632335592</v>
      </c>
      <c r="I1186" s="727">
        <f t="shared" si="73"/>
        <v>0</v>
      </c>
      <c r="J1186" s="727"/>
      <c r="K1186" s="877"/>
      <c r="L1186" s="733"/>
      <c r="M1186" s="877"/>
      <c r="N1186" s="733"/>
      <c r="O1186" s="733"/>
    </row>
    <row r="1187" spans="2:15">
      <c r="B1187" s="332"/>
      <c r="C1187" s="723">
        <f>IF(D1165="","-",+C1186+1)</f>
        <v>2034</v>
      </c>
      <c r="D1187" s="674">
        <f t="shared" si="74"/>
        <v>47590101.123188362</v>
      </c>
      <c r="E1187" s="1271">
        <f t="shared" si="77"/>
        <v>1543462.7391304348</v>
      </c>
      <c r="F1187" s="674">
        <f t="shared" si="72"/>
        <v>46046638.384057924</v>
      </c>
      <c r="G1187" s="1265">
        <f t="shared" si="75"/>
        <v>6270406.4539536722</v>
      </c>
      <c r="H1187" s="1268">
        <f t="shared" si="76"/>
        <v>6270406.4539536722</v>
      </c>
      <c r="I1187" s="727">
        <f t="shared" si="73"/>
        <v>0</v>
      </c>
      <c r="J1187" s="727"/>
      <c r="K1187" s="877"/>
      <c r="L1187" s="733"/>
      <c r="M1187" s="877"/>
      <c r="N1187" s="733"/>
      <c r="O1187" s="733"/>
    </row>
    <row r="1188" spans="2:15">
      <c r="B1188" s="332"/>
      <c r="C1188" s="723">
        <f>IF(D1165="","-",+C1187+1)</f>
        <v>2035</v>
      </c>
      <c r="D1188" s="674">
        <f t="shared" si="74"/>
        <v>46046638.384057924</v>
      </c>
      <c r="E1188" s="1271">
        <f t="shared" si="77"/>
        <v>1543462.7391304348</v>
      </c>
      <c r="F1188" s="674">
        <f t="shared" si="72"/>
        <v>44503175.644927487</v>
      </c>
      <c r="G1188" s="1265">
        <f t="shared" si="75"/>
        <v>6114573.1446737852</v>
      </c>
      <c r="H1188" s="1268">
        <f t="shared" si="76"/>
        <v>6114573.1446737852</v>
      </c>
      <c r="I1188" s="727">
        <f t="shared" si="73"/>
        <v>0</v>
      </c>
      <c r="J1188" s="727"/>
      <c r="K1188" s="877"/>
      <c r="L1188" s="733"/>
      <c r="M1188" s="877"/>
      <c r="N1188" s="733"/>
      <c r="O1188" s="733"/>
    </row>
    <row r="1189" spans="2:15">
      <c r="B1189" s="332"/>
      <c r="C1189" s="723">
        <f>IF(D1165="","-",+C1188+1)</f>
        <v>2036</v>
      </c>
      <c r="D1189" s="674">
        <f t="shared" si="74"/>
        <v>44503175.644927487</v>
      </c>
      <c r="E1189" s="1271">
        <f t="shared" si="77"/>
        <v>1543462.7391304348</v>
      </c>
      <c r="F1189" s="674">
        <f t="shared" si="72"/>
        <v>42959712.905797049</v>
      </c>
      <c r="G1189" s="1265">
        <f t="shared" si="75"/>
        <v>5958739.8353938973</v>
      </c>
      <c r="H1189" s="1268">
        <f t="shared" si="76"/>
        <v>5958739.8353938973</v>
      </c>
      <c r="I1189" s="727">
        <f t="shared" si="73"/>
        <v>0</v>
      </c>
      <c r="J1189" s="727"/>
      <c r="K1189" s="877"/>
      <c r="L1189" s="733"/>
      <c r="M1189" s="877"/>
      <c r="N1189" s="733"/>
      <c r="O1189" s="733"/>
    </row>
    <row r="1190" spans="2:15">
      <c r="B1190" s="332"/>
      <c r="C1190" s="723">
        <f>IF(D1165="","-",+C1189+1)</f>
        <v>2037</v>
      </c>
      <c r="D1190" s="674">
        <f t="shared" si="74"/>
        <v>42959712.905797049</v>
      </c>
      <c r="E1190" s="1271">
        <f t="shared" si="77"/>
        <v>1543462.7391304348</v>
      </c>
      <c r="F1190" s="674">
        <f t="shared" si="72"/>
        <v>41416250.166666612</v>
      </c>
      <c r="G1190" s="1265">
        <f t="shared" si="75"/>
        <v>5802906.5261140103</v>
      </c>
      <c r="H1190" s="1268">
        <f t="shared" si="76"/>
        <v>5802906.5261140103</v>
      </c>
      <c r="I1190" s="727">
        <f t="shared" si="73"/>
        <v>0</v>
      </c>
      <c r="J1190" s="727"/>
      <c r="K1190" s="877"/>
      <c r="L1190" s="733"/>
      <c r="M1190" s="877"/>
      <c r="N1190" s="733"/>
      <c r="O1190" s="733"/>
    </row>
    <row r="1191" spans="2:15">
      <c r="B1191" s="332"/>
      <c r="C1191" s="723">
        <f>IF(D1165="","-",+C1190+1)</f>
        <v>2038</v>
      </c>
      <c r="D1191" s="674">
        <f t="shared" si="74"/>
        <v>41416250.166666612</v>
      </c>
      <c r="E1191" s="1271">
        <f t="shared" si="77"/>
        <v>1543462.7391304348</v>
      </c>
      <c r="F1191" s="674">
        <f t="shared" si="72"/>
        <v>39872787.427536175</v>
      </c>
      <c r="G1191" s="1265">
        <f t="shared" si="75"/>
        <v>5647073.2168341232</v>
      </c>
      <c r="H1191" s="1268">
        <f t="shared" si="76"/>
        <v>5647073.2168341232</v>
      </c>
      <c r="I1191" s="727">
        <f t="shared" si="73"/>
        <v>0</v>
      </c>
      <c r="J1191" s="727"/>
      <c r="K1191" s="877"/>
      <c r="L1191" s="733"/>
      <c r="M1191" s="877"/>
      <c r="N1191" s="733"/>
      <c r="O1191" s="733"/>
    </row>
    <row r="1192" spans="2:15">
      <c r="B1192" s="332"/>
      <c r="C1192" s="723">
        <f>IF(D1165="","-",+C1191+1)</f>
        <v>2039</v>
      </c>
      <c r="D1192" s="674">
        <f t="shared" si="74"/>
        <v>39872787.427536175</v>
      </c>
      <c r="E1192" s="1271">
        <f t="shared" si="77"/>
        <v>1543462.7391304348</v>
      </c>
      <c r="F1192" s="674">
        <f t="shared" si="72"/>
        <v>38329324.688405737</v>
      </c>
      <c r="G1192" s="1265">
        <f t="shared" si="75"/>
        <v>5491239.9075542353</v>
      </c>
      <c r="H1192" s="1268">
        <f t="shared" si="76"/>
        <v>5491239.9075542353</v>
      </c>
      <c r="I1192" s="727">
        <f t="shared" si="73"/>
        <v>0</v>
      </c>
      <c r="J1192" s="727"/>
      <c r="K1192" s="877"/>
      <c r="L1192" s="733"/>
      <c r="M1192" s="877"/>
      <c r="N1192" s="733"/>
      <c r="O1192" s="733"/>
    </row>
    <row r="1193" spans="2:15">
      <c r="B1193" s="332"/>
      <c r="C1193" s="723">
        <f>IF(D1165="","-",+C1192+1)</f>
        <v>2040</v>
      </c>
      <c r="D1193" s="674">
        <f t="shared" si="74"/>
        <v>38329324.688405737</v>
      </c>
      <c r="E1193" s="1271">
        <f t="shared" si="77"/>
        <v>1543462.7391304348</v>
      </c>
      <c r="F1193" s="674">
        <f t="shared" si="72"/>
        <v>36785861.9492753</v>
      </c>
      <c r="G1193" s="1265">
        <f t="shared" si="75"/>
        <v>5335406.5982743483</v>
      </c>
      <c r="H1193" s="1268">
        <f t="shared" si="76"/>
        <v>5335406.5982743483</v>
      </c>
      <c r="I1193" s="727">
        <f t="shared" si="73"/>
        <v>0</v>
      </c>
      <c r="J1193" s="727"/>
      <c r="K1193" s="877"/>
      <c r="L1193" s="733"/>
      <c r="M1193" s="877"/>
      <c r="N1193" s="733"/>
      <c r="O1193" s="733"/>
    </row>
    <row r="1194" spans="2:15">
      <c r="B1194" s="332"/>
      <c r="C1194" s="723">
        <f>IF(D1165="","-",+C1193+1)</f>
        <v>2041</v>
      </c>
      <c r="D1194" s="674">
        <f t="shared" si="74"/>
        <v>36785861.9492753</v>
      </c>
      <c r="E1194" s="1271">
        <f t="shared" si="77"/>
        <v>1543462.7391304348</v>
      </c>
      <c r="F1194" s="674">
        <f t="shared" si="72"/>
        <v>35242399.210144863</v>
      </c>
      <c r="G1194" s="1265">
        <f t="shared" si="75"/>
        <v>5179573.2889944604</v>
      </c>
      <c r="H1194" s="1268">
        <f t="shared" si="76"/>
        <v>5179573.2889944604</v>
      </c>
      <c r="I1194" s="727">
        <f t="shared" si="73"/>
        <v>0</v>
      </c>
      <c r="J1194" s="727"/>
      <c r="K1194" s="877"/>
      <c r="L1194" s="733"/>
      <c r="M1194" s="877"/>
      <c r="N1194" s="733"/>
      <c r="O1194" s="733"/>
    </row>
    <row r="1195" spans="2:15">
      <c r="B1195" s="332"/>
      <c r="C1195" s="723">
        <f>IF(D1165="","-",+C1194+1)</f>
        <v>2042</v>
      </c>
      <c r="D1195" s="674">
        <f t="shared" si="74"/>
        <v>35242399.210144863</v>
      </c>
      <c r="E1195" s="1271">
        <f t="shared" si="77"/>
        <v>1543462.7391304348</v>
      </c>
      <c r="F1195" s="674">
        <f t="shared" si="72"/>
        <v>33698936.471014425</v>
      </c>
      <c r="G1195" s="1265">
        <f t="shared" si="75"/>
        <v>5023739.9797145734</v>
      </c>
      <c r="H1195" s="1268">
        <f t="shared" si="76"/>
        <v>5023739.9797145734</v>
      </c>
      <c r="I1195" s="727">
        <f t="shared" si="73"/>
        <v>0</v>
      </c>
      <c r="J1195" s="727"/>
      <c r="K1195" s="877"/>
      <c r="L1195" s="733"/>
      <c r="M1195" s="877"/>
      <c r="N1195" s="733"/>
      <c r="O1195" s="733"/>
    </row>
    <row r="1196" spans="2:15">
      <c r="B1196" s="332"/>
      <c r="C1196" s="723">
        <f>IF(D1165="","-",+C1195+1)</f>
        <v>2043</v>
      </c>
      <c r="D1196" s="674">
        <f t="shared" si="74"/>
        <v>33698936.471014425</v>
      </c>
      <c r="E1196" s="1271">
        <f t="shared" si="77"/>
        <v>1543462.7391304348</v>
      </c>
      <c r="F1196" s="674">
        <f t="shared" si="72"/>
        <v>32155473.731883992</v>
      </c>
      <c r="G1196" s="1265">
        <f t="shared" si="75"/>
        <v>4867906.6704346864</v>
      </c>
      <c r="H1196" s="1268">
        <f t="shared" si="76"/>
        <v>4867906.6704346864</v>
      </c>
      <c r="I1196" s="727">
        <f t="shared" si="73"/>
        <v>0</v>
      </c>
      <c r="J1196" s="727"/>
      <c r="K1196" s="877"/>
      <c r="L1196" s="733"/>
      <c r="M1196" s="877"/>
      <c r="N1196" s="733"/>
      <c r="O1196" s="733"/>
    </row>
    <row r="1197" spans="2:15">
      <c r="B1197" s="332"/>
      <c r="C1197" s="723">
        <f>IF(D1165="","-",+C1196+1)</f>
        <v>2044</v>
      </c>
      <c r="D1197" s="674">
        <f t="shared" si="74"/>
        <v>32155473.731883992</v>
      </c>
      <c r="E1197" s="1271">
        <f t="shared" si="77"/>
        <v>1543462.7391304348</v>
      </c>
      <c r="F1197" s="674">
        <f t="shared" si="72"/>
        <v>30612010.992753558</v>
      </c>
      <c r="G1197" s="1265">
        <f t="shared" si="75"/>
        <v>4712073.3611547993</v>
      </c>
      <c r="H1197" s="1268">
        <f t="shared" si="76"/>
        <v>4712073.3611547993</v>
      </c>
      <c r="I1197" s="727">
        <f t="shared" si="73"/>
        <v>0</v>
      </c>
      <c r="J1197" s="727"/>
      <c r="K1197" s="877"/>
      <c r="L1197" s="733"/>
      <c r="M1197" s="877"/>
      <c r="N1197" s="733"/>
      <c r="O1197" s="733"/>
    </row>
    <row r="1198" spans="2:15">
      <c r="B1198" s="332"/>
      <c r="C1198" s="723">
        <f>IF(D1165="","-",+C1197+1)</f>
        <v>2045</v>
      </c>
      <c r="D1198" s="674">
        <f t="shared" si="74"/>
        <v>30612010.992753558</v>
      </c>
      <c r="E1198" s="1271">
        <f t="shared" si="77"/>
        <v>1543462.7391304348</v>
      </c>
      <c r="F1198" s="674">
        <f t="shared" si="72"/>
        <v>29068548.253623124</v>
      </c>
      <c r="G1198" s="1265">
        <f t="shared" si="75"/>
        <v>4556240.0518749123</v>
      </c>
      <c r="H1198" s="1268">
        <f t="shared" si="76"/>
        <v>4556240.0518749123</v>
      </c>
      <c r="I1198" s="727">
        <f t="shared" si="73"/>
        <v>0</v>
      </c>
      <c r="J1198" s="727"/>
      <c r="K1198" s="877"/>
      <c r="L1198" s="733"/>
      <c r="M1198" s="877"/>
      <c r="N1198" s="733"/>
      <c r="O1198" s="733"/>
    </row>
    <row r="1199" spans="2:15">
      <c r="B1199" s="332"/>
      <c r="C1199" s="723">
        <f>IF(D1165="","-",+C1198+1)</f>
        <v>2046</v>
      </c>
      <c r="D1199" s="674">
        <f t="shared" si="74"/>
        <v>29068548.253623124</v>
      </c>
      <c r="E1199" s="1271">
        <f t="shared" si="77"/>
        <v>1543462.7391304348</v>
      </c>
      <c r="F1199" s="674">
        <f t="shared" si="72"/>
        <v>27525085.514492691</v>
      </c>
      <c r="G1199" s="1274">
        <f t="shared" si="75"/>
        <v>4400406.7425950253</v>
      </c>
      <c r="H1199" s="1268">
        <f t="shared" si="76"/>
        <v>4400406.7425950253</v>
      </c>
      <c r="I1199" s="727">
        <f t="shared" si="73"/>
        <v>0</v>
      </c>
      <c r="J1199" s="727"/>
      <c r="K1199" s="877"/>
      <c r="L1199" s="733"/>
      <c r="M1199" s="877"/>
      <c r="N1199" s="733"/>
      <c r="O1199" s="733"/>
    </row>
    <row r="1200" spans="2:15">
      <c r="B1200" s="332"/>
      <c r="C1200" s="723">
        <f>IF(D1165="","-",+C1199+1)</f>
        <v>2047</v>
      </c>
      <c r="D1200" s="674">
        <f t="shared" si="74"/>
        <v>27525085.514492691</v>
      </c>
      <c r="E1200" s="1271">
        <f t="shared" si="77"/>
        <v>1543462.7391304348</v>
      </c>
      <c r="F1200" s="674">
        <f t="shared" si="72"/>
        <v>25981622.775362257</v>
      </c>
      <c r="G1200" s="1265">
        <f t="shared" si="75"/>
        <v>4244573.4333151383</v>
      </c>
      <c r="H1200" s="1268">
        <f t="shared" si="76"/>
        <v>4244573.4333151383</v>
      </c>
      <c r="I1200" s="727">
        <f t="shared" si="73"/>
        <v>0</v>
      </c>
      <c r="J1200" s="727"/>
      <c r="K1200" s="877"/>
      <c r="L1200" s="733"/>
      <c r="M1200" s="877"/>
      <c r="N1200" s="733"/>
      <c r="O1200" s="733"/>
    </row>
    <row r="1201" spans="2:15">
      <c r="B1201" s="332"/>
      <c r="C1201" s="723">
        <f>IF(D1165="","-",+C1200+1)</f>
        <v>2048</v>
      </c>
      <c r="D1201" s="674">
        <f t="shared" si="74"/>
        <v>25981622.775362257</v>
      </c>
      <c r="E1201" s="1271">
        <f t="shared" si="77"/>
        <v>1543462.7391304348</v>
      </c>
      <c r="F1201" s="674">
        <f t="shared" si="72"/>
        <v>24438160.036231823</v>
      </c>
      <c r="G1201" s="1265">
        <f t="shared" si="75"/>
        <v>4088740.1240352513</v>
      </c>
      <c r="H1201" s="1268">
        <f t="shared" si="76"/>
        <v>4088740.1240352513</v>
      </c>
      <c r="I1201" s="727">
        <f t="shared" si="73"/>
        <v>0</v>
      </c>
      <c r="J1201" s="727"/>
      <c r="K1201" s="877"/>
      <c r="L1201" s="733"/>
      <c r="M1201" s="877"/>
      <c r="N1201" s="733"/>
      <c r="O1201" s="733"/>
    </row>
    <row r="1202" spans="2:15">
      <c r="B1202" s="332"/>
      <c r="C1202" s="723">
        <f>IF(D1165="","-",+C1201+1)</f>
        <v>2049</v>
      </c>
      <c r="D1202" s="674">
        <f t="shared" si="74"/>
        <v>24438160.036231823</v>
      </c>
      <c r="E1202" s="1271">
        <f t="shared" si="77"/>
        <v>1543462.7391304348</v>
      </c>
      <c r="F1202" s="674">
        <f t="shared" si="72"/>
        <v>22894697.29710139</v>
      </c>
      <c r="G1202" s="1265">
        <f t="shared" si="75"/>
        <v>3932906.8147553643</v>
      </c>
      <c r="H1202" s="1268">
        <f t="shared" si="76"/>
        <v>3932906.8147553643</v>
      </c>
      <c r="I1202" s="727">
        <f t="shared" si="73"/>
        <v>0</v>
      </c>
      <c r="J1202" s="727"/>
      <c r="K1202" s="877"/>
      <c r="L1202" s="733"/>
      <c r="M1202" s="877"/>
      <c r="N1202" s="733"/>
      <c r="O1202" s="733"/>
    </row>
    <row r="1203" spans="2:15">
      <c r="B1203" s="332"/>
      <c r="C1203" s="723">
        <f>IF(D1165="","-",+C1202+1)</f>
        <v>2050</v>
      </c>
      <c r="D1203" s="674">
        <f t="shared" si="74"/>
        <v>22894697.29710139</v>
      </c>
      <c r="E1203" s="1271">
        <f t="shared" si="77"/>
        <v>1543462.7391304348</v>
      </c>
      <c r="F1203" s="674">
        <f t="shared" si="72"/>
        <v>21351234.557970956</v>
      </c>
      <c r="G1203" s="1265">
        <f t="shared" si="75"/>
        <v>3777073.5054754773</v>
      </c>
      <c r="H1203" s="1268">
        <f t="shared" si="76"/>
        <v>3777073.5054754773</v>
      </c>
      <c r="I1203" s="727">
        <f t="shared" si="73"/>
        <v>0</v>
      </c>
      <c r="J1203" s="727"/>
      <c r="K1203" s="877"/>
      <c r="L1203" s="733"/>
      <c r="M1203" s="877"/>
      <c r="N1203" s="733"/>
      <c r="O1203" s="733"/>
    </row>
    <row r="1204" spans="2:15">
      <c r="B1204" s="332"/>
      <c r="C1204" s="723">
        <f>IF(D1165="","-",+C1203+1)</f>
        <v>2051</v>
      </c>
      <c r="D1204" s="674">
        <f t="shared" si="74"/>
        <v>21351234.557970956</v>
      </c>
      <c r="E1204" s="1271">
        <f t="shared" si="77"/>
        <v>1543462.7391304348</v>
      </c>
      <c r="F1204" s="674">
        <f t="shared" si="72"/>
        <v>19807771.818840522</v>
      </c>
      <c r="G1204" s="1265">
        <f t="shared" si="75"/>
        <v>3621240.1961955903</v>
      </c>
      <c r="H1204" s="1268">
        <f t="shared" si="76"/>
        <v>3621240.1961955903</v>
      </c>
      <c r="I1204" s="727">
        <f t="shared" si="73"/>
        <v>0</v>
      </c>
      <c r="J1204" s="727"/>
      <c r="K1204" s="877"/>
      <c r="L1204" s="733"/>
      <c r="M1204" s="877"/>
      <c r="N1204" s="733"/>
      <c r="O1204" s="733"/>
    </row>
    <row r="1205" spans="2:15">
      <c r="B1205" s="332"/>
      <c r="C1205" s="723">
        <f>IF(D1165="","-",+C1204+1)</f>
        <v>2052</v>
      </c>
      <c r="D1205" s="674">
        <f t="shared" si="74"/>
        <v>19807771.818840522</v>
      </c>
      <c r="E1205" s="1271">
        <f t="shared" si="77"/>
        <v>1543462.7391304348</v>
      </c>
      <c r="F1205" s="674">
        <f t="shared" si="72"/>
        <v>18264309.079710089</v>
      </c>
      <c r="G1205" s="1265">
        <f t="shared" si="75"/>
        <v>3465406.8869157033</v>
      </c>
      <c r="H1205" s="1268">
        <f t="shared" si="76"/>
        <v>3465406.8869157033</v>
      </c>
      <c r="I1205" s="727">
        <f t="shared" si="73"/>
        <v>0</v>
      </c>
      <c r="J1205" s="727"/>
      <c r="K1205" s="877"/>
      <c r="L1205" s="733"/>
      <c r="M1205" s="877"/>
      <c r="N1205" s="733"/>
      <c r="O1205" s="733"/>
    </row>
    <row r="1206" spans="2:15">
      <c r="B1206" s="332"/>
      <c r="C1206" s="723">
        <f>IF(D1165="","-",+C1205+1)</f>
        <v>2053</v>
      </c>
      <c r="D1206" s="674">
        <f t="shared" si="74"/>
        <v>18264309.079710089</v>
      </c>
      <c r="E1206" s="1271">
        <f t="shared" si="77"/>
        <v>1543462.7391304348</v>
      </c>
      <c r="F1206" s="674">
        <f t="shared" si="72"/>
        <v>16720846.340579653</v>
      </c>
      <c r="G1206" s="1265">
        <f t="shared" si="75"/>
        <v>3309573.5776358163</v>
      </c>
      <c r="H1206" s="1268">
        <f t="shared" si="76"/>
        <v>3309573.5776358163</v>
      </c>
      <c r="I1206" s="727">
        <f t="shared" si="73"/>
        <v>0</v>
      </c>
      <c r="J1206" s="727"/>
      <c r="K1206" s="877"/>
      <c r="L1206" s="733"/>
      <c r="M1206" s="877"/>
      <c r="N1206" s="733"/>
      <c r="O1206" s="733"/>
    </row>
    <row r="1207" spans="2:15">
      <c r="B1207" s="332"/>
      <c r="C1207" s="723">
        <f>IF(D1165="","-",+C1206+1)</f>
        <v>2054</v>
      </c>
      <c r="D1207" s="674">
        <f t="shared" si="74"/>
        <v>16720846.340579653</v>
      </c>
      <c r="E1207" s="1271">
        <f t="shared" si="77"/>
        <v>1543462.7391304348</v>
      </c>
      <c r="F1207" s="674">
        <f t="shared" si="72"/>
        <v>15177383.601449218</v>
      </c>
      <c r="G1207" s="1265">
        <f t="shared" si="75"/>
        <v>3153740.2683559293</v>
      </c>
      <c r="H1207" s="1268">
        <f t="shared" si="76"/>
        <v>3153740.2683559293</v>
      </c>
      <c r="I1207" s="727">
        <f t="shared" si="73"/>
        <v>0</v>
      </c>
      <c r="J1207" s="727"/>
      <c r="K1207" s="877"/>
      <c r="L1207" s="733"/>
      <c r="M1207" s="877"/>
      <c r="N1207" s="733"/>
      <c r="O1207" s="733"/>
    </row>
    <row r="1208" spans="2:15">
      <c r="B1208" s="332"/>
      <c r="C1208" s="723">
        <f>IF(D1165="","-",+C1207+1)</f>
        <v>2055</v>
      </c>
      <c r="D1208" s="674">
        <f t="shared" si="74"/>
        <v>15177383.601449218</v>
      </c>
      <c r="E1208" s="1271">
        <f t="shared" si="77"/>
        <v>1543462.7391304348</v>
      </c>
      <c r="F1208" s="674">
        <f t="shared" si="72"/>
        <v>13633920.862318782</v>
      </c>
      <c r="G1208" s="1265">
        <f t="shared" si="75"/>
        <v>2997906.9590760418</v>
      </c>
      <c r="H1208" s="1268">
        <f t="shared" si="76"/>
        <v>2997906.9590760418</v>
      </c>
      <c r="I1208" s="727">
        <f t="shared" si="73"/>
        <v>0</v>
      </c>
      <c r="J1208" s="727"/>
      <c r="K1208" s="877"/>
      <c r="L1208" s="733"/>
      <c r="M1208" s="877"/>
      <c r="N1208" s="733"/>
      <c r="O1208" s="733"/>
    </row>
    <row r="1209" spans="2:15">
      <c r="B1209" s="332"/>
      <c r="C1209" s="723">
        <f>IF(D1165="","-",+C1208+1)</f>
        <v>2056</v>
      </c>
      <c r="D1209" s="674">
        <f t="shared" si="74"/>
        <v>13633920.862318782</v>
      </c>
      <c r="E1209" s="1271">
        <f t="shared" si="77"/>
        <v>1543462.7391304348</v>
      </c>
      <c r="F1209" s="674">
        <f t="shared" si="72"/>
        <v>12090458.123188347</v>
      </c>
      <c r="G1209" s="1265">
        <f t="shared" si="75"/>
        <v>2842073.6497961548</v>
      </c>
      <c r="H1209" s="1268">
        <f t="shared" si="76"/>
        <v>2842073.6497961548</v>
      </c>
      <c r="I1209" s="727">
        <f t="shared" si="73"/>
        <v>0</v>
      </c>
      <c r="J1209" s="727"/>
      <c r="K1209" s="877"/>
      <c r="L1209" s="733"/>
      <c r="M1209" s="877"/>
      <c r="N1209" s="733"/>
      <c r="O1209" s="733"/>
    </row>
    <row r="1210" spans="2:15">
      <c r="B1210" s="332"/>
      <c r="C1210" s="723">
        <f>IF(D1165="","-",+C1209+1)</f>
        <v>2057</v>
      </c>
      <c r="D1210" s="674">
        <f t="shared" si="74"/>
        <v>12090458.123188347</v>
      </c>
      <c r="E1210" s="1271">
        <f t="shared" si="77"/>
        <v>1543462.7391304348</v>
      </c>
      <c r="F1210" s="674">
        <f t="shared" si="72"/>
        <v>10546995.384057911</v>
      </c>
      <c r="G1210" s="1265">
        <f t="shared" si="75"/>
        <v>2686240.3405162673</v>
      </c>
      <c r="H1210" s="1268">
        <f t="shared" si="76"/>
        <v>2686240.3405162673</v>
      </c>
      <c r="I1210" s="727">
        <f t="shared" si="73"/>
        <v>0</v>
      </c>
      <c r="J1210" s="727"/>
      <c r="K1210" s="877"/>
      <c r="L1210" s="733"/>
      <c r="M1210" s="877"/>
      <c r="N1210" s="733"/>
      <c r="O1210" s="733"/>
    </row>
    <row r="1211" spans="2:15">
      <c r="B1211" s="332"/>
      <c r="C1211" s="723">
        <f>IF(D1165="","-",+C1210+1)</f>
        <v>2058</v>
      </c>
      <c r="D1211" s="674">
        <f t="shared" si="74"/>
        <v>10546995.384057911</v>
      </c>
      <c r="E1211" s="1271">
        <f t="shared" si="77"/>
        <v>1543462.7391304348</v>
      </c>
      <c r="F1211" s="674">
        <f t="shared" si="72"/>
        <v>9003532.6449274756</v>
      </c>
      <c r="G1211" s="1265">
        <f t="shared" si="75"/>
        <v>2530407.0312363803</v>
      </c>
      <c r="H1211" s="1268">
        <f t="shared" si="76"/>
        <v>2530407.0312363803</v>
      </c>
      <c r="I1211" s="727">
        <f t="shared" si="73"/>
        <v>0</v>
      </c>
      <c r="J1211" s="727"/>
      <c r="K1211" s="877"/>
      <c r="L1211" s="733"/>
      <c r="M1211" s="877"/>
      <c r="N1211" s="733"/>
      <c r="O1211" s="733"/>
    </row>
    <row r="1212" spans="2:15">
      <c r="B1212" s="332"/>
      <c r="C1212" s="723">
        <f>IF(D1165="","-",+C1211+1)</f>
        <v>2059</v>
      </c>
      <c r="D1212" s="674">
        <f t="shared" si="74"/>
        <v>9003532.6449274756</v>
      </c>
      <c r="E1212" s="1271">
        <f t="shared" si="77"/>
        <v>1543462.7391304348</v>
      </c>
      <c r="F1212" s="674">
        <f t="shared" si="72"/>
        <v>7460069.905797041</v>
      </c>
      <c r="G1212" s="1265">
        <f t="shared" si="75"/>
        <v>2374573.7219564933</v>
      </c>
      <c r="H1212" s="1268">
        <f t="shared" si="76"/>
        <v>2374573.7219564933</v>
      </c>
      <c r="I1212" s="727">
        <f t="shared" si="73"/>
        <v>0</v>
      </c>
      <c r="J1212" s="727"/>
      <c r="K1212" s="877"/>
      <c r="L1212" s="733"/>
      <c r="M1212" s="877"/>
      <c r="N1212" s="733"/>
      <c r="O1212" s="733"/>
    </row>
    <row r="1213" spans="2:15">
      <c r="B1213" s="332"/>
      <c r="C1213" s="723">
        <f>IF(D1165="","-",+C1212+1)</f>
        <v>2060</v>
      </c>
      <c r="D1213" s="674">
        <f t="shared" si="74"/>
        <v>7460069.905797041</v>
      </c>
      <c r="E1213" s="1271">
        <f t="shared" si="77"/>
        <v>1543462.7391304348</v>
      </c>
      <c r="F1213" s="674">
        <f t="shared" si="72"/>
        <v>5916607.1666666064</v>
      </c>
      <c r="G1213" s="1265">
        <f t="shared" si="75"/>
        <v>2218740.4126766063</v>
      </c>
      <c r="H1213" s="1268">
        <f t="shared" si="76"/>
        <v>2218740.4126766063</v>
      </c>
      <c r="I1213" s="727">
        <f t="shared" si="73"/>
        <v>0</v>
      </c>
      <c r="J1213" s="727"/>
      <c r="K1213" s="877"/>
      <c r="L1213" s="733"/>
      <c r="M1213" s="877"/>
      <c r="N1213" s="733"/>
      <c r="O1213" s="733"/>
    </row>
    <row r="1214" spans="2:15">
      <c r="B1214" s="332"/>
      <c r="C1214" s="723">
        <f>IF(D1165="","-",+C1213+1)</f>
        <v>2061</v>
      </c>
      <c r="D1214" s="674">
        <f t="shared" si="74"/>
        <v>5916607.1666666064</v>
      </c>
      <c r="E1214" s="1271">
        <f t="shared" si="77"/>
        <v>1543462.7391304348</v>
      </c>
      <c r="F1214" s="674">
        <f t="shared" si="72"/>
        <v>4373144.4275361719</v>
      </c>
      <c r="G1214" s="1265">
        <f t="shared" si="75"/>
        <v>2062907.1033967191</v>
      </c>
      <c r="H1214" s="1268">
        <f t="shared" si="76"/>
        <v>2062907.1033967191</v>
      </c>
      <c r="I1214" s="727">
        <f t="shared" si="73"/>
        <v>0</v>
      </c>
      <c r="J1214" s="727"/>
      <c r="K1214" s="877"/>
      <c r="L1214" s="733"/>
      <c r="M1214" s="877"/>
      <c r="N1214" s="733"/>
      <c r="O1214" s="733"/>
    </row>
    <row r="1215" spans="2:15">
      <c r="B1215" s="332"/>
      <c r="C1215" s="723">
        <f>IF(D1165="","-",+C1214+1)</f>
        <v>2062</v>
      </c>
      <c r="D1215" s="674">
        <f t="shared" si="74"/>
        <v>4373144.4275361719</v>
      </c>
      <c r="E1215" s="1271">
        <f t="shared" si="77"/>
        <v>1543462.7391304348</v>
      </c>
      <c r="F1215" s="674">
        <f t="shared" si="72"/>
        <v>2829681.6884057373</v>
      </c>
      <c r="G1215" s="1265">
        <f t="shared" si="75"/>
        <v>1907073.7941168321</v>
      </c>
      <c r="H1215" s="1268">
        <f t="shared" si="76"/>
        <v>1907073.7941168321</v>
      </c>
      <c r="I1215" s="727">
        <f t="shared" si="73"/>
        <v>0</v>
      </c>
      <c r="J1215" s="727"/>
      <c r="K1215" s="877"/>
      <c r="L1215" s="733"/>
      <c r="M1215" s="877"/>
      <c r="N1215" s="733"/>
      <c r="O1215" s="733"/>
    </row>
    <row r="1216" spans="2:15">
      <c r="B1216" s="332"/>
      <c r="C1216" s="723">
        <f>IF(D1165="","-",+C1215+1)</f>
        <v>2063</v>
      </c>
      <c r="D1216" s="674">
        <f t="shared" si="74"/>
        <v>2829681.6884057373</v>
      </c>
      <c r="E1216" s="1271">
        <f t="shared" si="77"/>
        <v>1543462.7391304348</v>
      </c>
      <c r="F1216" s="674">
        <f t="shared" si="72"/>
        <v>1286218.9492753025</v>
      </c>
      <c r="G1216" s="1265">
        <f t="shared" si="75"/>
        <v>1751240.4848369448</v>
      </c>
      <c r="H1216" s="1268">
        <f t="shared" si="76"/>
        <v>1751240.4848369448</v>
      </c>
      <c r="I1216" s="727">
        <f t="shared" si="73"/>
        <v>0</v>
      </c>
      <c r="J1216" s="727"/>
      <c r="K1216" s="877"/>
      <c r="L1216" s="733"/>
      <c r="M1216" s="877"/>
      <c r="N1216" s="733"/>
      <c r="O1216" s="733"/>
    </row>
    <row r="1217" spans="2:15">
      <c r="B1217" s="332"/>
      <c r="C1217" s="723">
        <f>IF(D1165="","-",+C1216+1)</f>
        <v>2064</v>
      </c>
      <c r="D1217" s="674">
        <f t="shared" si="74"/>
        <v>1286218.9492753025</v>
      </c>
      <c r="E1217" s="1271">
        <f t="shared" si="77"/>
        <v>1286218.9492753025</v>
      </c>
      <c r="F1217" s="674">
        <f t="shared" si="72"/>
        <v>0</v>
      </c>
      <c r="G1217" s="1265">
        <f t="shared" si="75"/>
        <v>1351149.4948085858</v>
      </c>
      <c r="H1217" s="1268">
        <f t="shared" si="76"/>
        <v>1351149.4948085858</v>
      </c>
      <c r="I1217" s="727">
        <f t="shared" si="73"/>
        <v>0</v>
      </c>
      <c r="J1217" s="727"/>
      <c r="K1217" s="877"/>
      <c r="L1217" s="733"/>
      <c r="M1217" s="877"/>
      <c r="N1217" s="733"/>
      <c r="O1217" s="733"/>
    </row>
    <row r="1218" spans="2:15">
      <c r="B1218" s="332"/>
      <c r="C1218" s="723">
        <f>IF(D1165="","-",+C1217+1)</f>
        <v>2065</v>
      </c>
      <c r="D1218" s="674">
        <f t="shared" si="74"/>
        <v>0</v>
      </c>
      <c r="E1218" s="1271">
        <f t="shared" si="77"/>
        <v>0</v>
      </c>
      <c r="F1218" s="674">
        <f t="shared" si="72"/>
        <v>0</v>
      </c>
      <c r="G1218" s="1265">
        <f t="shared" si="75"/>
        <v>0</v>
      </c>
      <c r="H1218" s="1268">
        <f t="shared" si="76"/>
        <v>0</v>
      </c>
      <c r="I1218" s="727">
        <f t="shared" si="73"/>
        <v>0</v>
      </c>
      <c r="J1218" s="727"/>
      <c r="K1218" s="877"/>
      <c r="L1218" s="733"/>
      <c r="M1218" s="877"/>
      <c r="N1218" s="733"/>
      <c r="O1218" s="733"/>
    </row>
    <row r="1219" spans="2:15">
      <c r="B1219" s="332"/>
      <c r="C1219" s="723">
        <f>IF(D1165="","-",+C1218+1)</f>
        <v>2066</v>
      </c>
      <c r="D1219" s="674">
        <f t="shared" si="74"/>
        <v>0</v>
      </c>
      <c r="E1219" s="1271">
        <f t="shared" si="77"/>
        <v>0</v>
      </c>
      <c r="F1219" s="674">
        <f t="shared" si="72"/>
        <v>0</v>
      </c>
      <c r="G1219" s="1265">
        <f t="shared" si="75"/>
        <v>0</v>
      </c>
      <c r="H1219" s="1268">
        <f t="shared" si="76"/>
        <v>0</v>
      </c>
      <c r="I1219" s="727">
        <f t="shared" si="73"/>
        <v>0</v>
      </c>
      <c r="J1219" s="727"/>
      <c r="K1219" s="877"/>
      <c r="L1219" s="733"/>
      <c r="M1219" s="877"/>
      <c r="N1219" s="733"/>
      <c r="O1219" s="733"/>
    </row>
    <row r="1220" spans="2:15">
      <c r="B1220" s="332"/>
      <c r="C1220" s="723">
        <f>IF(D1165="","-",+C1219+1)</f>
        <v>2067</v>
      </c>
      <c r="D1220" s="674">
        <f t="shared" si="74"/>
        <v>0</v>
      </c>
      <c r="E1220" s="1271">
        <f t="shared" si="77"/>
        <v>0</v>
      </c>
      <c r="F1220" s="674">
        <f t="shared" si="72"/>
        <v>0</v>
      </c>
      <c r="G1220" s="1265">
        <f t="shared" si="75"/>
        <v>0</v>
      </c>
      <c r="H1220" s="1268">
        <f t="shared" si="76"/>
        <v>0</v>
      </c>
      <c r="I1220" s="727">
        <f t="shared" si="73"/>
        <v>0</v>
      </c>
      <c r="J1220" s="727"/>
      <c r="K1220" s="877"/>
      <c r="L1220" s="733"/>
      <c r="M1220" s="877"/>
      <c r="N1220" s="733"/>
      <c r="O1220" s="733"/>
    </row>
    <row r="1221" spans="2:15">
      <c r="B1221" s="332"/>
      <c r="C1221" s="723">
        <f>IF(D1165="","-",+C1220+1)</f>
        <v>2068</v>
      </c>
      <c r="D1221" s="674">
        <f t="shared" si="74"/>
        <v>0</v>
      </c>
      <c r="E1221" s="1271">
        <f t="shared" si="77"/>
        <v>0</v>
      </c>
      <c r="F1221" s="674">
        <f t="shared" si="72"/>
        <v>0</v>
      </c>
      <c r="G1221" s="1265">
        <f t="shared" si="75"/>
        <v>0</v>
      </c>
      <c r="H1221" s="1268">
        <f t="shared" si="76"/>
        <v>0</v>
      </c>
      <c r="I1221" s="727">
        <f t="shared" si="73"/>
        <v>0</v>
      </c>
      <c r="J1221" s="727"/>
      <c r="K1221" s="877"/>
      <c r="L1221" s="733"/>
      <c r="M1221" s="877"/>
      <c r="N1221" s="733"/>
      <c r="O1221" s="733"/>
    </row>
    <row r="1222" spans="2:15">
      <c r="B1222" s="332"/>
      <c r="C1222" s="723">
        <f>IF(D1165="","-",+C1221+1)</f>
        <v>2069</v>
      </c>
      <c r="D1222" s="674">
        <f t="shared" si="74"/>
        <v>0</v>
      </c>
      <c r="E1222" s="1271">
        <f t="shared" si="77"/>
        <v>0</v>
      </c>
      <c r="F1222" s="674">
        <f t="shared" si="72"/>
        <v>0</v>
      </c>
      <c r="G1222" s="1265">
        <f t="shared" si="75"/>
        <v>0</v>
      </c>
      <c r="H1222" s="1268">
        <f t="shared" si="76"/>
        <v>0</v>
      </c>
      <c r="I1222" s="727">
        <f t="shared" si="73"/>
        <v>0</v>
      </c>
      <c r="J1222" s="727"/>
      <c r="K1222" s="877"/>
      <c r="L1222" s="733"/>
      <c r="M1222" s="877"/>
      <c r="N1222" s="733"/>
      <c r="O1222" s="733"/>
    </row>
    <row r="1223" spans="2:15">
      <c r="B1223" s="332"/>
      <c r="C1223" s="723">
        <f>IF(D1165="","-",+C1222+1)</f>
        <v>2070</v>
      </c>
      <c r="D1223" s="674">
        <f t="shared" si="74"/>
        <v>0</v>
      </c>
      <c r="E1223" s="1271">
        <f t="shared" si="77"/>
        <v>0</v>
      </c>
      <c r="F1223" s="674">
        <f t="shared" si="72"/>
        <v>0</v>
      </c>
      <c r="G1223" s="1265">
        <f t="shared" si="75"/>
        <v>0</v>
      </c>
      <c r="H1223" s="1268">
        <f t="shared" si="76"/>
        <v>0</v>
      </c>
      <c r="I1223" s="727">
        <f t="shared" si="73"/>
        <v>0</v>
      </c>
      <c r="J1223" s="727"/>
      <c r="K1223" s="877"/>
      <c r="L1223" s="733"/>
      <c r="M1223" s="877"/>
      <c r="N1223" s="733"/>
      <c r="O1223" s="733"/>
    </row>
    <row r="1224" spans="2:15">
      <c r="B1224" s="332"/>
      <c r="C1224" s="723">
        <f>IF(D1165="","-",+C1223+1)</f>
        <v>2071</v>
      </c>
      <c r="D1224" s="674">
        <f t="shared" si="74"/>
        <v>0</v>
      </c>
      <c r="E1224" s="1271">
        <f t="shared" si="77"/>
        <v>0</v>
      </c>
      <c r="F1224" s="674">
        <f t="shared" si="72"/>
        <v>0</v>
      </c>
      <c r="G1224" s="1265">
        <f t="shared" si="75"/>
        <v>0</v>
      </c>
      <c r="H1224" s="1268">
        <f t="shared" si="76"/>
        <v>0</v>
      </c>
      <c r="I1224" s="727">
        <f t="shared" si="73"/>
        <v>0</v>
      </c>
      <c r="J1224" s="727"/>
      <c r="K1224" s="877"/>
      <c r="L1224" s="733"/>
      <c r="M1224" s="877"/>
      <c r="N1224" s="733"/>
      <c r="O1224" s="733"/>
    </row>
    <row r="1225" spans="2:15">
      <c r="B1225" s="332"/>
      <c r="C1225" s="723">
        <f>IF(D1165="","-",+C1224+1)</f>
        <v>2072</v>
      </c>
      <c r="D1225" s="674">
        <f t="shared" si="74"/>
        <v>0</v>
      </c>
      <c r="E1225" s="1271">
        <f t="shared" si="77"/>
        <v>0</v>
      </c>
      <c r="F1225" s="674">
        <f t="shared" si="72"/>
        <v>0</v>
      </c>
      <c r="G1225" s="1265">
        <f t="shared" si="75"/>
        <v>0</v>
      </c>
      <c r="H1225" s="1268">
        <f t="shared" si="76"/>
        <v>0</v>
      </c>
      <c r="I1225" s="727">
        <f t="shared" si="73"/>
        <v>0</v>
      </c>
      <c r="J1225" s="727"/>
      <c r="K1225" s="877"/>
      <c r="L1225" s="733"/>
      <c r="M1225" s="877"/>
      <c r="N1225" s="733"/>
      <c r="O1225" s="733"/>
    </row>
    <row r="1226" spans="2:15">
      <c r="B1226" s="332"/>
      <c r="C1226" s="723">
        <f>IF(D1165="","-",+C1225+1)</f>
        <v>2073</v>
      </c>
      <c r="D1226" s="674">
        <f t="shared" si="74"/>
        <v>0</v>
      </c>
      <c r="E1226" s="1271">
        <f t="shared" si="77"/>
        <v>0</v>
      </c>
      <c r="F1226" s="674">
        <f t="shared" si="72"/>
        <v>0</v>
      </c>
      <c r="G1226" s="1265">
        <f t="shared" si="75"/>
        <v>0</v>
      </c>
      <c r="H1226" s="1268">
        <f t="shared" si="76"/>
        <v>0</v>
      </c>
      <c r="I1226" s="727">
        <f t="shared" si="73"/>
        <v>0</v>
      </c>
      <c r="J1226" s="727"/>
      <c r="K1226" s="877"/>
      <c r="L1226" s="733"/>
      <c r="M1226" s="877"/>
      <c r="N1226" s="733"/>
      <c r="O1226" s="733"/>
    </row>
    <row r="1227" spans="2:15">
      <c r="B1227" s="332"/>
      <c r="C1227" s="723">
        <f>IF(D1165="","-",+C1226+1)</f>
        <v>2074</v>
      </c>
      <c r="D1227" s="674">
        <f t="shared" si="74"/>
        <v>0</v>
      </c>
      <c r="E1227" s="1271">
        <f t="shared" si="77"/>
        <v>0</v>
      </c>
      <c r="F1227" s="674">
        <f t="shared" si="72"/>
        <v>0</v>
      </c>
      <c r="G1227" s="1265">
        <f t="shared" si="75"/>
        <v>0</v>
      </c>
      <c r="H1227" s="1268">
        <f t="shared" si="76"/>
        <v>0</v>
      </c>
      <c r="I1227" s="727">
        <f t="shared" si="73"/>
        <v>0</v>
      </c>
      <c r="J1227" s="727"/>
      <c r="K1227" s="877"/>
      <c r="L1227" s="733"/>
      <c r="M1227" s="877"/>
      <c r="N1227" s="733"/>
      <c r="O1227" s="733"/>
    </row>
    <row r="1228" spans="2:15">
      <c r="B1228" s="332"/>
      <c r="C1228" s="723">
        <f>IF(D1165="","-",+C1227+1)</f>
        <v>2075</v>
      </c>
      <c r="D1228" s="674">
        <f t="shared" si="74"/>
        <v>0</v>
      </c>
      <c r="E1228" s="1271">
        <f t="shared" si="77"/>
        <v>0</v>
      </c>
      <c r="F1228" s="674">
        <f t="shared" si="72"/>
        <v>0</v>
      </c>
      <c r="G1228" s="1265">
        <f t="shared" si="75"/>
        <v>0</v>
      </c>
      <c r="H1228" s="1268">
        <f t="shared" si="76"/>
        <v>0</v>
      </c>
      <c r="I1228" s="727">
        <f t="shared" si="73"/>
        <v>0</v>
      </c>
      <c r="J1228" s="727"/>
      <c r="K1228" s="877"/>
      <c r="L1228" s="733"/>
      <c r="M1228" s="877"/>
      <c r="N1228" s="733"/>
      <c r="O1228" s="733"/>
    </row>
    <row r="1229" spans="2:15">
      <c r="B1229" s="332"/>
      <c r="C1229" s="723">
        <f>IF(D1165="","-",+C1228+1)</f>
        <v>2076</v>
      </c>
      <c r="D1229" s="674">
        <f t="shared" si="74"/>
        <v>0</v>
      </c>
      <c r="E1229" s="1271">
        <f t="shared" si="77"/>
        <v>0</v>
      </c>
      <c r="F1229" s="674">
        <f t="shared" si="72"/>
        <v>0</v>
      </c>
      <c r="G1229" s="1265">
        <f t="shared" si="75"/>
        <v>0</v>
      </c>
      <c r="H1229" s="1268">
        <f t="shared" si="76"/>
        <v>0</v>
      </c>
      <c r="I1229" s="727">
        <f t="shared" si="73"/>
        <v>0</v>
      </c>
      <c r="J1229" s="727"/>
      <c r="K1229" s="877"/>
      <c r="L1229" s="733"/>
      <c r="M1229" s="877"/>
      <c r="N1229" s="733"/>
      <c r="O1229" s="733"/>
    </row>
    <row r="1230" spans="2:15" ht="13.5" thickBot="1">
      <c r="B1230" s="332"/>
      <c r="C1230" s="735">
        <f>IF(D1165="","-",+C1229+1)</f>
        <v>2077</v>
      </c>
      <c r="D1230" s="736">
        <f t="shared" si="74"/>
        <v>0</v>
      </c>
      <c r="E1230" s="1295">
        <f t="shared" si="77"/>
        <v>0</v>
      </c>
      <c r="F1230" s="736">
        <f t="shared" si="72"/>
        <v>0</v>
      </c>
      <c r="G1230" s="1275">
        <f t="shared" si="75"/>
        <v>0</v>
      </c>
      <c r="H1230" s="1275">
        <f t="shared" si="76"/>
        <v>0</v>
      </c>
      <c r="I1230" s="739">
        <f t="shared" si="73"/>
        <v>0</v>
      </c>
      <c r="J1230" s="727"/>
      <c r="K1230" s="878"/>
      <c r="L1230" s="741"/>
      <c r="M1230" s="878"/>
      <c r="N1230" s="741"/>
      <c r="O1230" s="741"/>
    </row>
    <row r="1231" spans="2:15">
      <c r="B1231" s="332"/>
      <c r="C1231" s="674" t="s">
        <v>288</v>
      </c>
      <c r="D1231" s="1246"/>
      <c r="E1231" s="1246">
        <f>SUM(E1171:E1230)</f>
        <v>70999285.999999985</v>
      </c>
      <c r="F1231" s="1246"/>
      <c r="G1231" s="1246">
        <f>SUM(G1171:G1230)</f>
        <v>241844537.4071826</v>
      </c>
      <c r="H1231" s="1246">
        <f>SUM(H1171:H1230)</f>
        <v>241844537.4071826</v>
      </c>
      <c r="I1231" s="1246">
        <f>SUM(I1171:I1230)</f>
        <v>0</v>
      </c>
      <c r="J1231" s="1246"/>
      <c r="K1231" s="1246"/>
      <c r="L1231" s="1246"/>
      <c r="M1231" s="1246"/>
      <c r="N1231" s="1246"/>
      <c r="O1231" s="541"/>
    </row>
    <row r="1232" spans="2:15">
      <c r="B1232" s="332"/>
      <c r="D1232" s="564"/>
      <c r="E1232" s="541"/>
      <c r="F1232" s="541"/>
      <c r="G1232" s="541"/>
      <c r="H1232" s="1245"/>
      <c r="I1232" s="1245"/>
      <c r="J1232" s="1246"/>
      <c r="K1232" s="1245"/>
      <c r="L1232" s="1245"/>
      <c r="M1232" s="1245"/>
      <c r="N1232" s="1245"/>
      <c r="O1232" s="541"/>
    </row>
    <row r="1233" spans="2:15">
      <c r="B1233" s="332"/>
      <c r="C1233" s="541" t="s">
        <v>601</v>
      </c>
      <c r="D1233" s="564"/>
      <c r="E1233" s="541"/>
      <c r="F1233" s="541"/>
      <c r="G1233" s="541"/>
      <c r="H1233" s="1245"/>
      <c r="I1233" s="1245"/>
      <c r="J1233" s="1246"/>
      <c r="K1233" s="1245"/>
      <c r="L1233" s="1245"/>
      <c r="M1233" s="1245"/>
      <c r="N1233" s="1245"/>
      <c r="O1233" s="541"/>
    </row>
    <row r="1234" spans="2:15">
      <c r="B1234" s="332"/>
      <c r="D1234" s="564"/>
      <c r="E1234" s="541"/>
      <c r="F1234" s="541"/>
      <c r="G1234" s="541"/>
      <c r="H1234" s="1245"/>
      <c r="I1234" s="1245"/>
      <c r="J1234" s="1246"/>
      <c r="K1234" s="1245"/>
      <c r="L1234" s="1245"/>
      <c r="M1234" s="1245"/>
      <c r="N1234" s="1245"/>
      <c r="O1234" s="541"/>
    </row>
    <row r="1235" spans="2:15">
      <c r="B1235" s="332"/>
      <c r="C1235" s="577" t="s">
        <v>602</v>
      </c>
      <c r="D1235" s="674"/>
      <c r="E1235" s="674"/>
      <c r="F1235" s="674"/>
      <c r="G1235" s="1246"/>
      <c r="H1235" s="1246"/>
      <c r="I1235" s="675"/>
      <c r="J1235" s="675"/>
      <c r="K1235" s="675"/>
      <c r="L1235" s="675"/>
      <c r="M1235" s="675"/>
      <c r="N1235" s="675"/>
      <c r="O1235" s="541"/>
    </row>
    <row r="1236" spans="2:15">
      <c r="B1236" s="332"/>
      <c r="C1236" s="577" t="s">
        <v>476</v>
      </c>
      <c r="D1236" s="674"/>
      <c r="E1236" s="674"/>
      <c r="F1236" s="674"/>
      <c r="G1236" s="1246"/>
      <c r="H1236" s="1246"/>
      <c r="I1236" s="675"/>
      <c r="J1236" s="675"/>
      <c r="K1236" s="675"/>
      <c r="L1236" s="675"/>
      <c r="M1236" s="675"/>
      <c r="N1236" s="675"/>
      <c r="O1236" s="541"/>
    </row>
    <row r="1237" spans="2:15">
      <c r="B1237" s="332"/>
      <c r="C1237" s="577" t="s">
        <v>289</v>
      </c>
      <c r="D1237" s="674"/>
      <c r="E1237" s="674"/>
      <c r="F1237" s="674"/>
      <c r="G1237" s="1246"/>
      <c r="H1237" s="1246"/>
      <c r="I1237" s="675"/>
      <c r="J1237" s="675"/>
      <c r="K1237" s="675"/>
      <c r="L1237" s="675"/>
      <c r="M1237" s="675"/>
      <c r="N1237" s="675"/>
      <c r="O1237" s="541"/>
    </row>
    <row r="1238" spans="2:15">
      <c r="B1238" s="332"/>
      <c r="C1238" s="673"/>
      <c r="D1238" s="674"/>
      <c r="E1238" s="674"/>
      <c r="F1238" s="674"/>
      <c r="G1238" s="1246"/>
      <c r="H1238" s="1246"/>
      <c r="I1238" s="675"/>
      <c r="J1238" s="675"/>
      <c r="K1238" s="675"/>
      <c r="L1238" s="675"/>
      <c r="M1238" s="675"/>
      <c r="N1238" s="675"/>
      <c r="O1238" s="541"/>
    </row>
    <row r="1239" spans="2:15">
      <c r="B1239" s="332"/>
      <c r="C1239" s="1543" t="s">
        <v>460</v>
      </c>
      <c r="D1239" s="1543"/>
      <c r="E1239" s="1543"/>
      <c r="F1239" s="1543"/>
      <c r="G1239" s="1543"/>
      <c r="H1239" s="1543"/>
      <c r="I1239" s="1543"/>
      <c r="J1239" s="1543"/>
      <c r="K1239" s="1543"/>
      <c r="L1239" s="1543"/>
      <c r="M1239" s="1543"/>
      <c r="N1239" s="1543"/>
      <c r="O1239" s="1543"/>
    </row>
    <row r="1240" spans="2:15">
      <c r="B1240" s="332"/>
      <c r="C1240" s="1543"/>
      <c r="D1240" s="1543"/>
      <c r="E1240" s="1543"/>
      <c r="F1240" s="1543"/>
      <c r="G1240" s="1543"/>
      <c r="H1240" s="1543"/>
      <c r="I1240" s="1543"/>
      <c r="J1240" s="1543"/>
      <c r="K1240" s="1543"/>
      <c r="L1240" s="1543"/>
      <c r="M1240" s="1543"/>
      <c r="N1240" s="1543"/>
      <c r="O1240" s="1543"/>
    </row>
  </sheetData>
  <mergeCells count="45">
    <mergeCell ref="D1160:H1160"/>
    <mergeCell ref="K1164:O1164"/>
    <mergeCell ref="C1239:O1240"/>
    <mergeCell ref="D982:H982"/>
    <mergeCell ref="K986:O986"/>
    <mergeCell ref="C1061:O1062"/>
    <mergeCell ref="D1071:H1071"/>
    <mergeCell ref="K1075:O1075"/>
    <mergeCell ref="C1150:O1151"/>
    <mergeCell ref="D537:H537"/>
    <mergeCell ref="K541:O541"/>
    <mergeCell ref="C972:O973"/>
    <mergeCell ref="D626:H626"/>
    <mergeCell ref="K630:O630"/>
    <mergeCell ref="C705:O706"/>
    <mergeCell ref="D715:H715"/>
    <mergeCell ref="K719:O719"/>
    <mergeCell ref="C794:O795"/>
    <mergeCell ref="D804:H804"/>
    <mergeCell ref="K808:O808"/>
    <mergeCell ref="C883:O884"/>
    <mergeCell ref="D893:H893"/>
    <mergeCell ref="K897:O897"/>
    <mergeCell ref="C616:O617"/>
    <mergeCell ref="D91:G91"/>
    <mergeCell ref="K95:O95"/>
    <mergeCell ref="C170:O171"/>
    <mergeCell ref="D181:G181"/>
    <mergeCell ref="K185:O185"/>
    <mergeCell ref="C260:O261"/>
    <mergeCell ref="D270:G270"/>
    <mergeCell ref="K274:O274"/>
    <mergeCell ref="C349:O350"/>
    <mergeCell ref="D359:G359"/>
    <mergeCell ref="K363:O363"/>
    <mergeCell ref="C438:O439"/>
    <mergeCell ref="D448:H448"/>
    <mergeCell ref="K452:O452"/>
    <mergeCell ref="C527:O528"/>
    <mergeCell ref="K22:O23"/>
    <mergeCell ref="A3:O3"/>
    <mergeCell ref="C11:H12"/>
    <mergeCell ref="A4:O4"/>
    <mergeCell ref="A5:O5"/>
    <mergeCell ref="A6:O6"/>
  </mergeCells>
  <phoneticPr fontId="0" type="noConversion"/>
  <conditionalFormatting sqref="C102:C161">
    <cfRule type="cellIs" dxfId="50" priority="15" stopIfTrue="1" operator="equal">
      <formula>$I$93</formula>
    </cfRule>
  </conditionalFormatting>
  <conditionalFormatting sqref="C192:C251">
    <cfRule type="cellIs" dxfId="49" priority="14" stopIfTrue="1" operator="equal">
      <formula>$I$93</formula>
    </cfRule>
  </conditionalFormatting>
  <conditionalFormatting sqref="C281:C340">
    <cfRule type="cellIs" dxfId="48" priority="13" stopIfTrue="1" operator="equal">
      <formula>$I$93</formula>
    </cfRule>
  </conditionalFormatting>
  <conditionalFormatting sqref="C370:C429">
    <cfRule type="cellIs" dxfId="47" priority="12" stopIfTrue="1" operator="equal">
      <formula>$I$93</formula>
    </cfRule>
  </conditionalFormatting>
  <conditionalFormatting sqref="C459:C518">
    <cfRule type="cellIs" dxfId="46" priority="11" stopIfTrue="1" operator="equal">
      <formula>$I$93</formula>
    </cfRule>
  </conditionalFormatting>
  <conditionalFormatting sqref="C548:C607">
    <cfRule type="cellIs" dxfId="45" priority="10" stopIfTrue="1" operator="equal">
      <formula>$I$93</formula>
    </cfRule>
  </conditionalFormatting>
  <conditionalFormatting sqref="C637:C696">
    <cfRule type="cellIs" dxfId="44" priority="9" stopIfTrue="1" operator="equal">
      <formula>$I$93</formula>
    </cfRule>
  </conditionalFormatting>
  <conditionalFormatting sqref="C726:C785">
    <cfRule type="cellIs" dxfId="43" priority="8" stopIfTrue="1" operator="equal">
      <formula>$I$93</formula>
    </cfRule>
  </conditionalFormatting>
  <conditionalFormatting sqref="C815:C874">
    <cfRule type="cellIs" dxfId="42" priority="7" stopIfTrue="1" operator="equal">
      <formula>$I$93</formula>
    </cfRule>
  </conditionalFormatting>
  <conditionalFormatting sqref="C904:C963">
    <cfRule type="cellIs" dxfId="41" priority="6" stopIfTrue="1" operator="equal">
      <formula>$I$93</formula>
    </cfRule>
  </conditionalFormatting>
  <conditionalFormatting sqref="C993:C1052">
    <cfRule type="cellIs" dxfId="40" priority="5" stopIfTrue="1" operator="equal">
      <formula>$I$93</formula>
    </cfRule>
  </conditionalFormatting>
  <conditionalFormatting sqref="C1082:C1141">
    <cfRule type="cellIs" dxfId="39" priority="4" stopIfTrue="1" operator="equal">
      <formula>$I$93</formula>
    </cfRule>
  </conditionalFormatting>
  <conditionalFormatting sqref="C1173:C1230">
    <cfRule type="cellIs" dxfId="38" priority="3" stopIfTrue="1" operator="equal">
      <formula>$I$93</formula>
    </cfRule>
  </conditionalFormatting>
  <conditionalFormatting sqref="C1171">
    <cfRule type="cellIs" dxfId="37" priority="2" stopIfTrue="1" operator="equal">
      <formula>$I$93</formula>
    </cfRule>
  </conditionalFormatting>
  <conditionalFormatting sqref="C1172">
    <cfRule type="cellIs" dxfId="36" priority="1" stopIfTrue="1" operator="equal">
      <formula>$I$93</formula>
    </cfRule>
  </conditionalFormatting>
  <pageMargins left="0.26" right="1.28" top="1" bottom="0.5" header="0.75" footer="0.5"/>
  <pageSetup scale="38" fitToHeight="2" orientation="landscape" r:id="rId1"/>
  <headerFooter alignWithMargins="0">
    <oddHeader>&amp;R&amp;"Arial,Bold"Formula Rate 
&amp;A
Page &amp;P of &amp;N</oddHeader>
  </headerFooter>
  <rowBreaks count="13" manualBreakCount="13">
    <brk id="82" max="16383" man="1"/>
    <brk id="172" max="16383" man="1"/>
    <brk id="261" max="16383" man="1"/>
    <brk id="350" max="16383" man="1"/>
    <brk id="439" max="16383" man="1"/>
    <brk id="528" max="16383" man="1"/>
    <brk id="617" max="16383" man="1"/>
    <brk id="706" max="16383" man="1"/>
    <brk id="795" max="16383" man="1"/>
    <brk id="884" max="16383" man="1"/>
    <brk id="973" max="16383" man="1"/>
    <brk id="1062" max="16383" man="1"/>
    <brk id="115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374"/>
  <sheetViews>
    <sheetView view="pageBreakPreview" topLeftCell="A1287" zoomScale="85" zoomScaleNormal="100" zoomScaleSheetLayoutView="85" workbookViewId="0">
      <selection activeCell="D1301" sqref="D1301"/>
    </sheetView>
  </sheetViews>
  <sheetFormatPr defaultColWidth="8.85546875" defaultRowHeight="12.75"/>
  <cols>
    <col min="1" max="1" width="4.5703125" style="332" customWidth="1"/>
    <col min="2" max="2" width="6.5703125" style="413" customWidth="1"/>
    <col min="3" max="3" width="32.42578125" style="332" customWidth="1"/>
    <col min="4" max="4" width="17.5703125" style="424" customWidth="1"/>
    <col min="5" max="8" width="17.5703125" style="332" customWidth="1"/>
    <col min="9" max="9" width="17.5703125" style="590" customWidth="1"/>
    <col min="10" max="10" width="17.5703125" style="332" bestFit="1" customWidth="1"/>
    <col min="11" max="11" width="2.140625" style="316" customWidth="1"/>
    <col min="12" max="12" width="17.5703125" style="541" customWidth="1"/>
    <col min="13" max="13" width="31.85546875" style="541" customWidth="1"/>
    <col min="14" max="15" width="17.5703125" style="541" customWidth="1"/>
    <col min="16" max="16" width="16.5703125" style="541" customWidth="1"/>
    <col min="17" max="17" width="2.140625" style="541" customWidth="1"/>
    <col min="18" max="16384" width="8.85546875" style="332"/>
  </cols>
  <sheetData>
    <row r="1" spans="1:17" ht="15.75">
      <c r="A1" s="893" t="s">
        <v>114</v>
      </c>
    </row>
    <row r="2" spans="1:17" ht="15.75">
      <c r="A2" s="893" t="s">
        <v>114</v>
      </c>
    </row>
    <row r="3" spans="1:17" ht="15">
      <c r="A3" s="1520" t="s">
        <v>387</v>
      </c>
      <c r="B3" s="1520"/>
      <c r="C3" s="1520"/>
      <c r="D3" s="1520"/>
      <c r="E3" s="1520"/>
      <c r="F3" s="1520"/>
      <c r="G3" s="1520"/>
      <c r="H3" s="1520"/>
      <c r="I3" s="1520"/>
      <c r="J3" s="1520"/>
      <c r="K3" s="1520"/>
      <c r="L3" s="1520"/>
      <c r="M3" s="1520"/>
      <c r="N3" s="1520"/>
      <c r="O3" s="1520"/>
      <c r="P3" s="1520"/>
      <c r="Q3" s="589"/>
    </row>
    <row r="4" spans="1:17" ht="15">
      <c r="A4" s="1521" t="str">
        <f>"Cost of Service Formula Rate Using "&amp;TCOS!L4&amp;" FF1 Balances"</f>
        <v>Cost of Service Formula Rate Using 2020 FF1 Balances</v>
      </c>
      <c r="B4" s="1521"/>
      <c r="C4" s="1521"/>
      <c r="D4" s="1521"/>
      <c r="E4" s="1521"/>
      <c r="F4" s="1521"/>
      <c r="G4" s="1521"/>
      <c r="H4" s="1521"/>
      <c r="I4" s="1521"/>
      <c r="J4" s="1521"/>
      <c r="K4" s="1521"/>
      <c r="L4" s="1521"/>
      <c r="M4" s="1521"/>
      <c r="N4" s="1521"/>
      <c r="O4" s="1521"/>
      <c r="P4" s="1521"/>
      <c r="Q4" s="589"/>
    </row>
    <row r="5" spans="1:17" ht="15">
      <c r="A5" s="1521" t="s">
        <v>469</v>
      </c>
      <c r="B5" s="1521"/>
      <c r="C5" s="1521"/>
      <c r="D5" s="1521"/>
      <c r="E5" s="1521"/>
      <c r="F5" s="1521"/>
      <c r="G5" s="1521"/>
      <c r="H5" s="1521"/>
      <c r="I5" s="1521"/>
      <c r="J5" s="1521"/>
      <c r="K5" s="1521"/>
      <c r="L5" s="1521"/>
      <c r="M5" s="1521"/>
      <c r="N5" s="1521"/>
      <c r="O5" s="1521"/>
      <c r="P5" s="1521"/>
      <c r="Q5" s="589"/>
    </row>
    <row r="6" spans="1:17" ht="15">
      <c r="A6" s="1522" t="str">
        <f>TCOS!F9</f>
        <v>Appalachian Power Company</v>
      </c>
      <c r="B6" s="1522"/>
      <c r="C6" s="1522"/>
      <c r="D6" s="1522"/>
      <c r="E6" s="1522"/>
      <c r="F6" s="1522"/>
      <c r="G6" s="1522"/>
      <c r="H6" s="1522"/>
      <c r="I6" s="1522"/>
      <c r="J6" s="1522"/>
      <c r="K6" s="1522"/>
      <c r="L6" s="1522"/>
      <c r="M6" s="1522"/>
      <c r="N6" s="1522"/>
      <c r="O6" s="1522"/>
      <c r="P6" s="1522"/>
      <c r="Q6" s="589"/>
    </row>
    <row r="7" spans="1:17">
      <c r="Q7" s="589"/>
    </row>
    <row r="8" spans="1:17" ht="20.25">
      <c r="A8" s="591"/>
      <c r="C8" s="413"/>
      <c r="O8" s="592" t="str">
        <f>"Page "&amp;Q8&amp;" of "</f>
        <v xml:space="preserve">Page 1 of </v>
      </c>
      <c r="P8" s="593">
        <f>COUNT(Q$8:Q$58123)</f>
        <v>16</v>
      </c>
      <c r="Q8" s="594">
        <v>1</v>
      </c>
    </row>
    <row r="9" spans="1:17" ht="18">
      <c r="C9" s="595"/>
      <c r="Q9" s="589"/>
    </row>
    <row r="10" spans="1:17">
      <c r="Q10" s="589"/>
    </row>
    <row r="11" spans="1:17" ht="18">
      <c r="B11" s="596" t="s">
        <v>171</v>
      </c>
      <c r="C11" s="1540" t="str">
        <f>"Calculate Return and Income Taxes with "&amp;F17&amp;" basis point ROE increase for Projects Qualified for Regional Billing."</f>
        <v>Calculate Return and Income Taxes with 0 basis point ROE increase for Projects Qualified for Regional Billing.</v>
      </c>
      <c r="D11" s="1541"/>
      <c r="E11" s="1541"/>
      <c r="F11" s="1541"/>
      <c r="G11" s="1541"/>
      <c r="H11" s="1541"/>
      <c r="I11" s="1541"/>
      <c r="Q11" s="589"/>
    </row>
    <row r="12" spans="1:17" ht="18.75" customHeight="1">
      <c r="C12" s="1541"/>
      <c r="D12" s="1541"/>
      <c r="E12" s="1541"/>
      <c r="F12" s="1541"/>
      <c r="G12" s="1541"/>
      <c r="H12" s="1541"/>
      <c r="I12" s="1541"/>
      <c r="Q12" s="589"/>
    </row>
    <row r="13" spans="1:17" ht="15.75" customHeight="1">
      <c r="C13" s="528"/>
      <c r="D13" s="528"/>
      <c r="E13" s="528"/>
      <c r="F13" s="528"/>
      <c r="G13" s="528"/>
      <c r="H13" s="528"/>
      <c r="I13" s="528"/>
      <c r="Q13" s="589"/>
    </row>
    <row r="14" spans="1:17" ht="15.75">
      <c r="C14" s="597" t="str">
        <f>"A.   Determine 'R' with hypothetical "&amp;F17&amp;" basis point increase in ROE for Identified Projects"</f>
        <v>A.   Determine 'R' with hypothetical 0 basis point increase in ROE for Identified Projects</v>
      </c>
      <c r="D14" s="381"/>
      <c r="Q14" s="589"/>
    </row>
    <row r="15" spans="1:17">
      <c r="C15" s="370"/>
      <c r="D15" s="381"/>
      <c r="Q15" s="589"/>
    </row>
    <row r="16" spans="1:17">
      <c r="C16" s="598" t="str">
        <f>"   ROE w/o incentives  (TCOS, ln "&amp;TCOS!B257&amp;")"</f>
        <v xml:space="preserve">   ROE w/o incentives  (TCOS, ln 156)</v>
      </c>
      <c r="D16" s="381"/>
      <c r="E16" s="599"/>
      <c r="F16" s="742">
        <f>TCOS!J257</f>
        <v>0.10349999999999999</v>
      </c>
      <c r="G16" s="742"/>
      <c r="H16" s="599"/>
      <c r="I16" s="601"/>
      <c r="J16" s="601"/>
      <c r="K16" s="602"/>
      <c r="L16" s="601"/>
      <c r="M16" s="601"/>
      <c r="N16" s="601"/>
      <c r="O16" s="601"/>
      <c r="P16" s="601"/>
      <c r="Q16" s="602"/>
    </row>
    <row r="17" spans="3:17" ht="13.5" thickBot="1">
      <c r="C17" s="620" t="s">
        <v>252</v>
      </c>
      <c r="D17" s="381"/>
      <c r="E17" s="599"/>
      <c r="F17" s="868">
        <v>0</v>
      </c>
      <c r="G17" s="599"/>
      <c r="H17" s="599"/>
      <c r="I17" s="601"/>
      <c r="J17" s="601"/>
      <c r="K17" s="602"/>
      <c r="L17" s="601"/>
      <c r="M17" s="601"/>
      <c r="N17" s="601"/>
      <c r="O17" s="601"/>
      <c r="P17" s="601"/>
      <c r="Q17" s="602"/>
    </row>
    <row r="18" spans="3:17">
      <c r="C18" s="620" t="str">
        <f>"   ROE with additional "&amp;F17&amp;" basis point incentive"</f>
        <v xml:space="preserve">   ROE with additional 0 basis point incentive</v>
      </c>
      <c r="D18" s="599"/>
      <c r="E18" s="599"/>
      <c r="F18" s="604">
        <f>IF((F16+(F17/10000)&gt;0.125),"ERROR",F16+(F17/10000))</f>
        <v>0.10349999999999999</v>
      </c>
      <c r="G18" s="605"/>
      <c r="H18" s="599"/>
      <c r="I18" s="601"/>
      <c r="J18" s="601"/>
      <c r="K18" s="602"/>
      <c r="L18" s="743" t="s">
        <v>454</v>
      </c>
      <c r="M18" s="744"/>
      <c r="N18" s="744"/>
      <c r="O18" s="744"/>
      <c r="P18" s="745"/>
      <c r="Q18" s="602"/>
    </row>
    <row r="19" spans="3:17">
      <c r="C19" s="59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81"/>
      <c r="E19" s="599"/>
      <c r="F19" s="606"/>
      <c r="G19" s="606"/>
      <c r="H19" s="599"/>
      <c r="I19" s="601"/>
      <c r="J19" s="601"/>
      <c r="K19" s="602"/>
      <c r="L19" s="746"/>
      <c r="M19" s="602"/>
      <c r="N19" s="602" t="s">
        <v>254</v>
      </c>
      <c r="O19" s="602" t="s">
        <v>255</v>
      </c>
      <c r="P19" s="747" t="s">
        <v>256</v>
      </c>
      <c r="Q19" s="602"/>
    </row>
    <row r="20" spans="3:17">
      <c r="C20" s="602"/>
      <c r="D20" s="607" t="s">
        <v>146</v>
      </c>
      <c r="E20" s="607" t="s">
        <v>145</v>
      </c>
      <c r="F20" s="608" t="s">
        <v>253</v>
      </c>
      <c r="G20" s="608"/>
      <c r="H20" s="599"/>
      <c r="I20" s="601"/>
      <c r="J20" s="601"/>
      <c r="K20" s="602"/>
      <c r="L20" s="746" t="s">
        <v>452</v>
      </c>
      <c r="M20" s="748">
        <f>+TCOS!L4</f>
        <v>2020</v>
      </c>
      <c r="N20" s="589"/>
      <c r="O20" s="589"/>
      <c r="P20" s="749"/>
      <c r="Q20" s="602"/>
    </row>
    <row r="21" spans="3:17">
      <c r="C21" s="609" t="s">
        <v>257</v>
      </c>
      <c r="D21" s="750">
        <f>TCOS!H255</f>
        <v>0.52352559515356833</v>
      </c>
      <c r="E21" s="611">
        <f>TCOS!J255</f>
        <v>4.6743489805896918E-2</v>
      </c>
      <c r="F21" s="612">
        <f>E21*D21</f>
        <v>2.4471413320186937E-2</v>
      </c>
      <c r="G21" s="612"/>
      <c r="H21" s="599"/>
      <c r="I21" s="601"/>
      <c r="J21" s="613"/>
      <c r="K21" s="614"/>
      <c r="L21" s="751"/>
      <c r="M21" s="752" t="s">
        <v>453</v>
      </c>
      <c r="N21" s="879">
        <f>M90+M176+M262+M348+M434+M520+M606+M692+M778+M864+M950+M1036+M1122+M1209+M1296</f>
        <v>22018180.706208542</v>
      </c>
      <c r="O21" s="879">
        <f>N90+N176+N262+N348+N434+N520+N606+N692+N778+N864+N950+N1036+N1122+N1209+N1296</f>
        <v>22018180.706208542</v>
      </c>
      <c r="P21" s="753">
        <f>+O21-N21</f>
        <v>0</v>
      </c>
      <c r="Q21" s="614"/>
    </row>
    <row r="22" spans="3:17" ht="13.5" thickBot="1">
      <c r="C22" s="609" t="s">
        <v>258</v>
      </c>
      <c r="D22" s="750">
        <f>TCOS!H256</f>
        <v>0</v>
      </c>
      <c r="E22" s="611">
        <f>TCOS!J256</f>
        <v>0</v>
      </c>
      <c r="F22" s="612">
        <f>E22*D22</f>
        <v>0</v>
      </c>
      <c r="G22" s="612"/>
      <c r="H22" s="615"/>
      <c r="I22" s="615"/>
      <c r="J22" s="616"/>
      <c r="K22" s="617"/>
      <c r="L22" s="751"/>
      <c r="M22" s="752" t="s">
        <v>259</v>
      </c>
      <c r="N22" s="880">
        <f>M91+M177+M263+M349+M435+M521+M607+M693+M779+M865+M951+M1037+M1123+M1210+M1297</f>
        <v>26888818.870044861</v>
      </c>
      <c r="O22" s="880">
        <f>N91+N177+N263+N349+N435+N521+N607+N693+N779+N865+N951+N1037+N1123+N1210+N1297</f>
        <v>26888818.870044861</v>
      </c>
      <c r="P22" s="754">
        <f>+O22-N22</f>
        <v>0</v>
      </c>
      <c r="Q22" s="617"/>
    </row>
    <row r="23" spans="3:17">
      <c r="C23" s="618" t="s">
        <v>244</v>
      </c>
      <c r="D23" s="750">
        <f>TCOS!H257</f>
        <v>0.47647440484643167</v>
      </c>
      <c r="E23" s="611">
        <f>+F18</f>
        <v>0.10349999999999999</v>
      </c>
      <c r="F23" s="619">
        <f>E23*D23</f>
        <v>4.9315100901605673E-2</v>
      </c>
      <c r="G23" s="619"/>
      <c r="H23" s="615"/>
      <c r="I23" s="615"/>
      <c r="J23" s="616"/>
      <c r="K23" s="617"/>
      <c r="L23" s="751"/>
      <c r="M23" s="752" t="str">
        <f>"True-up of ARR For "&amp;TCOS!L4&amp;""</f>
        <v>True-up of ARR For 2020</v>
      </c>
      <c r="N23" s="674">
        <f>+N22-N21</f>
        <v>4870638.163836319</v>
      </c>
      <c r="O23" s="674">
        <f>+O22-O21</f>
        <v>4870638.163836319</v>
      </c>
      <c r="P23" s="755">
        <f>+P22-P21</f>
        <v>0</v>
      </c>
      <c r="Q23" s="617"/>
    </row>
    <row r="24" spans="3:17">
      <c r="C24" s="620"/>
      <c r="D24" s="332"/>
      <c r="E24" s="621" t="s">
        <v>260</v>
      </c>
      <c r="F24" s="612">
        <f>SUM(F21:F23)</f>
        <v>7.378651422179261E-2</v>
      </c>
      <c r="G24" s="612"/>
      <c r="H24" s="615"/>
      <c r="I24" s="615"/>
      <c r="J24" s="616"/>
      <c r="K24" s="617"/>
      <c r="L24" s="751"/>
      <c r="M24" s="589"/>
      <c r="N24" s="589"/>
      <c r="O24" s="589"/>
      <c r="P24" s="749"/>
      <c r="Q24" s="617"/>
    </row>
    <row r="25" spans="3:17" ht="13.5" thickBot="1">
      <c r="C25" s="370"/>
      <c r="D25" s="626"/>
      <c r="E25" s="626"/>
      <c r="F25" s="615"/>
      <c r="G25" s="615"/>
      <c r="H25" s="615"/>
      <c r="I25" s="615"/>
      <c r="J25" s="615"/>
      <c r="K25" s="627"/>
      <c r="L25" s="756"/>
      <c r="M25" s="757"/>
      <c r="N25" s="758"/>
      <c r="O25" s="758"/>
      <c r="P25" s="754"/>
      <c r="Q25" s="627"/>
    </row>
    <row r="26" spans="3:17" ht="15.75">
      <c r="C26" s="597" t="str">
        <f>"B.   Determine Return using 'R' with hypothetical "&amp;F17&amp;" basis point ROE increase for Identified Projects."</f>
        <v>B.   Determine Return using 'R' with hypothetical 0 basis point ROE increase for Identified Projects.</v>
      </c>
      <c r="D26" s="626"/>
      <c r="E26" s="626"/>
      <c r="F26" s="631"/>
      <c r="G26" s="631"/>
      <c r="H26" s="615"/>
      <c r="I26" s="599"/>
      <c r="J26" s="615"/>
      <c r="K26" s="627"/>
      <c r="L26" s="615"/>
      <c r="M26" s="615"/>
      <c r="N26" s="615"/>
      <c r="O26" s="615"/>
      <c r="P26" s="615"/>
      <c r="Q26" s="627"/>
    </row>
    <row r="27" spans="3:17">
      <c r="C27" s="602"/>
      <c r="D27" s="626"/>
      <c r="E27" s="626"/>
      <c r="F27" s="627"/>
      <c r="G27" s="627"/>
      <c r="H27" s="627"/>
      <c r="I27" s="627"/>
      <c r="J27" s="627"/>
      <c r="K27" s="627"/>
      <c r="L27" s="627"/>
      <c r="M27" s="627"/>
      <c r="N27" s="627"/>
      <c r="O27" s="627"/>
      <c r="P27" s="627"/>
      <c r="Q27" s="627"/>
    </row>
    <row r="28" spans="3:17">
      <c r="C28" s="636" t="str">
        <f>"   Rate Base  (TCOS, ln "&amp;TCOS!B125&amp;")"</f>
        <v xml:space="preserve">   Rate Base  (TCOS, ln 68)</v>
      </c>
      <c r="D28" s="599"/>
      <c r="E28" s="637">
        <f>TCOS!L125</f>
        <v>2405827924.2909727</v>
      </c>
      <c r="F28" s="759"/>
      <c r="G28" s="759"/>
      <c r="H28" s="627"/>
      <c r="I28" s="627"/>
      <c r="J28" s="627"/>
      <c r="K28" s="627"/>
      <c r="L28" s="627"/>
      <c r="M28" s="627"/>
      <c r="N28" s="627"/>
      <c r="O28" s="627"/>
      <c r="P28" s="759"/>
      <c r="Q28" s="627"/>
    </row>
    <row r="29" spans="3:17">
      <c r="C29" s="602" t="s">
        <v>474</v>
      </c>
      <c r="D29" s="639"/>
      <c r="E29" s="612">
        <f>F24</f>
        <v>7.378651422179261E-2</v>
      </c>
      <c r="F29" s="627"/>
      <c r="G29" s="627"/>
      <c r="H29" s="627"/>
      <c r="I29" s="627"/>
      <c r="J29" s="627"/>
      <c r="K29" s="627"/>
      <c r="L29" s="627"/>
      <c r="M29" s="627"/>
      <c r="N29" s="627"/>
      <c r="O29" s="627"/>
      <c r="P29" s="627"/>
      <c r="Q29" s="627"/>
    </row>
    <row r="30" spans="3:17">
      <c r="C30" s="640" t="s">
        <v>262</v>
      </c>
      <c r="D30" s="640"/>
      <c r="E30" s="616">
        <f>E28*E29</f>
        <v>177517656.35088167</v>
      </c>
      <c r="F30" s="627"/>
      <c r="G30" s="627"/>
      <c r="H30" s="627"/>
      <c r="I30" s="627"/>
      <c r="J30" s="617"/>
      <c r="K30" s="617"/>
      <c r="L30" s="617"/>
      <c r="M30" s="617"/>
      <c r="N30" s="617"/>
      <c r="O30" s="617"/>
      <c r="P30" s="627"/>
      <c r="Q30" s="617"/>
    </row>
    <row r="31" spans="3:17">
      <c r="C31" s="641"/>
      <c r="D31" s="601"/>
      <c r="E31" s="601"/>
      <c r="F31" s="627"/>
      <c r="G31" s="627"/>
      <c r="H31" s="627"/>
      <c r="I31" s="627"/>
      <c r="J31" s="617"/>
      <c r="K31" s="617"/>
      <c r="L31" s="617"/>
      <c r="M31" s="617"/>
      <c r="N31" s="617"/>
      <c r="O31" s="617"/>
      <c r="P31" s="627"/>
      <c r="Q31" s="617"/>
    </row>
    <row r="32" spans="3:17" ht="15.75">
      <c r="C32" s="597" t="str">
        <f>"C.   Determine Income Taxes using Return with hypothetical "&amp;F17&amp;" basis point ROE increase for Identified Projects."</f>
        <v>C.   Determine Income Taxes using Return with hypothetical 0 basis point ROE increase for Identified Projects.</v>
      </c>
      <c r="D32" s="642"/>
      <c r="E32" s="642"/>
      <c r="F32" s="643"/>
      <c r="G32" s="643"/>
      <c r="H32" s="643"/>
      <c r="I32" s="643"/>
      <c r="J32" s="644"/>
      <c r="K32" s="644"/>
      <c r="L32" s="644"/>
      <c r="M32" s="644"/>
      <c r="N32" s="644"/>
      <c r="O32" s="644"/>
      <c r="P32" s="643"/>
      <c r="Q32" s="644"/>
    </row>
    <row r="33" spans="2:17">
      <c r="C33" s="620"/>
      <c r="D33" s="601"/>
      <c r="E33" s="601"/>
      <c r="F33" s="627"/>
      <c r="G33" s="627"/>
      <c r="H33" s="627"/>
      <c r="I33" s="627"/>
      <c r="J33" s="617"/>
      <c r="K33" s="617"/>
      <c r="L33" s="617"/>
      <c r="M33" s="617"/>
      <c r="N33" s="617"/>
      <c r="O33" s="617"/>
      <c r="P33" s="627"/>
      <c r="Q33" s="617"/>
    </row>
    <row r="34" spans="2:17">
      <c r="C34" s="602" t="s">
        <v>263</v>
      </c>
      <c r="D34" s="621"/>
      <c r="E34" s="645">
        <f>E30</f>
        <v>177517656.35088167</v>
      </c>
      <c r="F34" s="627"/>
      <c r="G34" s="627"/>
      <c r="H34" s="627"/>
      <c r="I34" s="627"/>
      <c r="J34" s="627"/>
      <c r="K34" s="627"/>
      <c r="L34" s="627"/>
      <c r="M34" s="627"/>
      <c r="N34" s="627"/>
      <c r="O34" s="627"/>
      <c r="P34" s="627"/>
      <c r="Q34" s="627"/>
    </row>
    <row r="35" spans="2:17">
      <c r="C35" s="636" t="str">
        <f>"   Effective Tax Rate  (TCOS, ln "&amp;TCOS!B190&amp;")"</f>
        <v xml:space="preserve">   Effective Tax Rate  (TCOS, ln 114)</v>
      </c>
      <c r="D35" s="564"/>
      <c r="E35" s="646">
        <f>TCOS!G190</f>
        <v>0.20907396239608936</v>
      </c>
      <c r="F35" s="541"/>
      <c r="G35" s="541"/>
      <c r="H35" s="541"/>
      <c r="I35" s="647"/>
      <c r="J35" s="541"/>
      <c r="K35" s="589"/>
      <c r="Q35" s="589"/>
    </row>
    <row r="36" spans="2:17">
      <c r="C36" s="641" t="s">
        <v>264</v>
      </c>
      <c r="D36" s="564"/>
      <c r="E36" s="648">
        <f>E34*E35</f>
        <v>37114319.808546148</v>
      </c>
      <c r="F36" s="541"/>
      <c r="G36" s="541"/>
      <c r="H36" s="541"/>
      <c r="I36" s="647"/>
      <c r="J36" s="541"/>
      <c r="K36" s="589"/>
      <c r="Q36" s="589"/>
    </row>
    <row r="37" spans="2:17" ht="15">
      <c r="C37" s="620" t="s">
        <v>302</v>
      </c>
      <c r="D37" s="474"/>
      <c r="E37" s="649">
        <f>TCOS!L199</f>
        <v>-54912.02010670599</v>
      </c>
      <c r="F37" s="474"/>
      <c r="G37" s="474"/>
      <c r="H37" s="474"/>
      <c r="I37" s="474"/>
      <c r="J37" s="474"/>
      <c r="K37" s="474"/>
      <c r="L37" s="474"/>
      <c r="M37" s="474"/>
      <c r="N37" s="474"/>
      <c r="O37" s="474"/>
      <c r="P37" s="390"/>
      <c r="Q37" s="474"/>
    </row>
    <row r="38" spans="2:17" ht="15">
      <c r="C38" s="620" t="s">
        <v>532</v>
      </c>
      <c r="D38" s="474"/>
      <c r="E38" s="649">
        <f>TCOS!L200</f>
        <v>-6679254.0021372745</v>
      </c>
      <c r="F38" s="474"/>
      <c r="G38" s="474"/>
      <c r="H38" s="474"/>
      <c r="I38" s="474"/>
      <c r="J38" s="474"/>
      <c r="K38" s="474"/>
      <c r="L38" s="474"/>
      <c r="M38" s="474"/>
      <c r="N38" s="474"/>
      <c r="O38" s="474"/>
      <c r="P38" s="390"/>
      <c r="Q38" s="474"/>
    </row>
    <row r="39" spans="2:17" ht="15">
      <c r="C39" s="620" t="s">
        <v>533</v>
      </c>
      <c r="D39" s="474"/>
      <c r="E39" s="650">
        <f>TCOS!L201</f>
        <v>2464339.8869397864</v>
      </c>
      <c r="F39" s="474"/>
      <c r="G39" s="474"/>
      <c r="H39" s="474"/>
      <c r="I39" s="474"/>
      <c r="J39" s="474"/>
      <c r="K39" s="474"/>
      <c r="L39" s="474"/>
      <c r="M39" s="474"/>
      <c r="N39" s="474"/>
      <c r="O39" s="474"/>
      <c r="P39" s="390"/>
      <c r="Q39" s="474"/>
    </row>
    <row r="40" spans="2:17" ht="15">
      <c r="C40" s="641" t="s">
        <v>265</v>
      </c>
      <c r="D40" s="474"/>
      <c r="E40" s="649">
        <f>E36+E37+E38+E39</f>
        <v>32844493.673241958</v>
      </c>
      <c r="F40" s="474"/>
      <c r="G40" s="474"/>
      <c r="H40" s="474"/>
      <c r="I40" s="474"/>
      <c r="J40" s="474"/>
      <c r="K40" s="474"/>
      <c r="L40" s="474"/>
      <c r="M40" s="474"/>
      <c r="N40" s="474"/>
      <c r="O40" s="474"/>
      <c r="P40" s="348"/>
      <c r="Q40" s="474"/>
    </row>
    <row r="41" spans="2:17" ht="12.75" customHeight="1">
      <c r="C41" s="398"/>
      <c r="D41" s="474"/>
      <c r="E41" s="474"/>
      <c r="F41" s="474"/>
      <c r="G41" s="474"/>
      <c r="H41" s="474"/>
      <c r="I41" s="474"/>
      <c r="J41" s="474"/>
      <c r="K41" s="474"/>
      <c r="L41" s="474"/>
      <c r="M41" s="474"/>
      <c r="N41" s="474"/>
      <c r="O41" s="474"/>
      <c r="P41" s="348"/>
      <c r="Q41" s="474"/>
    </row>
    <row r="42" spans="2:17" ht="18.75">
      <c r="B42" s="596" t="s">
        <v>172</v>
      </c>
      <c r="C42" s="595" t="str">
        <f>"Calculate Net Plant Carrying Charge Rate (Fixed Charge Rate or FCR) with hypothetical "&amp;F17&amp;""</f>
        <v>Calculate Net Plant Carrying Charge Rate (Fixed Charge Rate or FCR) with hypothetical 0</v>
      </c>
      <c r="D42" s="474"/>
      <c r="E42" s="474"/>
      <c r="F42" s="474"/>
      <c r="G42" s="474"/>
      <c r="H42" s="474"/>
      <c r="I42" s="474"/>
      <c r="J42" s="474"/>
      <c r="K42" s="474"/>
      <c r="L42" s="474"/>
      <c r="M42" s="474"/>
      <c r="N42" s="474"/>
      <c r="O42" s="474"/>
      <c r="P42" s="348"/>
      <c r="Q42" s="474"/>
    </row>
    <row r="43" spans="2:17" ht="18.75" customHeight="1">
      <c r="C43" s="595" t="str">
        <f>"basis point ROE increase."</f>
        <v>basis point ROE increase.</v>
      </c>
      <c r="D43" s="474"/>
      <c r="E43" s="474"/>
      <c r="F43" s="474"/>
      <c r="G43" s="474"/>
      <c r="H43" s="474"/>
      <c r="I43" s="474"/>
      <c r="J43" s="474"/>
      <c r="K43" s="474"/>
      <c r="L43" s="474"/>
      <c r="M43" s="474"/>
      <c r="N43" s="474"/>
      <c r="O43" s="474"/>
      <c r="P43" s="348"/>
      <c r="Q43" s="474"/>
    </row>
    <row r="44" spans="2:17" ht="12.75" customHeight="1">
      <c r="C44" s="595"/>
      <c r="D44" s="474"/>
      <c r="E44" s="474"/>
      <c r="F44" s="474"/>
      <c r="G44" s="474"/>
      <c r="H44" s="474"/>
      <c r="I44" s="474"/>
      <c r="J44" s="474"/>
      <c r="K44" s="474"/>
      <c r="L44" s="474"/>
      <c r="M44" s="474"/>
      <c r="N44" s="474"/>
      <c r="O44" s="474"/>
      <c r="P44" s="348"/>
      <c r="Q44" s="474"/>
    </row>
    <row r="45" spans="2:17" ht="15.75">
      <c r="C45" s="597" t="s">
        <v>465</v>
      </c>
      <c r="D45" s="474"/>
      <c r="E45" s="474"/>
      <c r="F45" s="473"/>
      <c r="G45" s="473"/>
      <c r="H45" s="474"/>
      <c r="I45" s="474"/>
      <c r="J45" s="474"/>
      <c r="K45" s="474"/>
      <c r="L45" s="474"/>
      <c r="M45" s="474"/>
      <c r="N45" s="474"/>
      <c r="O45" s="474"/>
      <c r="P45" s="348"/>
      <c r="Q45" s="474"/>
    </row>
    <row r="46" spans="2:17">
      <c r="B46" s="577"/>
      <c r="C46" s="598"/>
      <c r="D46" s="651"/>
      <c r="E46" s="651"/>
      <c r="F46" s="651"/>
      <c r="G46" s="651"/>
      <c r="H46" s="651"/>
      <c r="I46" s="651"/>
      <c r="J46" s="651"/>
      <c r="K46" s="651"/>
      <c r="L46" s="651"/>
      <c r="M46" s="651"/>
      <c r="N46" s="651"/>
      <c r="O46" s="651"/>
      <c r="P46" s="649"/>
      <c r="Q46" s="651"/>
    </row>
    <row r="47" spans="2:17" ht="12.75" customHeight="1">
      <c r="B47" s="577"/>
      <c r="C47" s="636" t="str">
        <f>"   Annual Revenue Requirement  (TCOS, ln "&amp;TCOS!B13&amp;")"</f>
        <v xml:space="preserve">   Annual Revenue Requirement  (TCOS, ln 1)</v>
      </c>
      <c r="D47" s="651"/>
      <c r="E47" s="651"/>
      <c r="F47" s="649">
        <f>TCOS!L13</f>
        <v>373735460.34499419</v>
      </c>
      <c r="G47" s="649"/>
      <c r="H47" s="760" t="s">
        <v>114</v>
      </c>
      <c r="I47" s="651"/>
      <c r="J47" s="651"/>
      <c r="K47" s="651"/>
      <c r="L47" s="651"/>
      <c r="M47" s="651"/>
      <c r="N47" s="651"/>
      <c r="O47" s="651"/>
      <c r="P47" s="649"/>
      <c r="Q47" s="651"/>
    </row>
    <row r="48" spans="2:17" ht="12.75" customHeight="1">
      <c r="B48" s="577"/>
      <c r="C48" s="636" t="str">
        <f>"   Lease Payments (TCOS, Ln "&amp;TCOS!B168&amp;")"</f>
        <v xml:space="preserve">   Lease Payments (TCOS, Ln 95)</v>
      </c>
      <c r="D48" s="651"/>
      <c r="E48" s="651"/>
      <c r="F48" s="649">
        <f>TCOS!L168</f>
        <v>0</v>
      </c>
      <c r="G48" s="649"/>
      <c r="H48" s="760"/>
      <c r="I48" s="651"/>
      <c r="J48" s="651"/>
      <c r="K48" s="651"/>
      <c r="L48" s="651"/>
      <c r="M48" s="651"/>
      <c r="N48" s="651"/>
      <c r="O48" s="651"/>
      <c r="P48" s="649"/>
      <c r="Q48" s="651"/>
    </row>
    <row r="49" spans="2:17">
      <c r="B49" s="577"/>
      <c r="C49" s="636" t="str">
        <f>"   Return  (TCOS, ln "&amp;TCOS!B205&amp;")"</f>
        <v xml:space="preserve">   Return  (TCOS, ln 126)</v>
      </c>
      <c r="D49" s="651"/>
      <c r="E49" s="651"/>
      <c r="F49" s="652">
        <f>TCOS!L205</f>
        <v>177517656.35088167</v>
      </c>
      <c r="G49" s="652"/>
      <c r="H49" s="653"/>
      <c r="I49" s="653"/>
      <c r="J49" s="653"/>
      <c r="K49" s="653"/>
      <c r="L49" s="653"/>
      <c r="M49" s="653"/>
      <c r="N49" s="653"/>
      <c r="O49" s="653"/>
      <c r="P49" s="649"/>
      <c r="Q49" s="653"/>
    </row>
    <row r="50" spans="2:17">
      <c r="B50" s="577"/>
      <c r="C50" s="636" t="str">
        <f>"   Income Taxes  (TCOS, ln "&amp;TCOS!B203&amp;")"</f>
        <v xml:space="preserve">   Income Taxes  (TCOS, ln 125)</v>
      </c>
      <c r="D50" s="651"/>
      <c r="E50" s="651"/>
      <c r="F50" s="654">
        <f>TCOS!L203</f>
        <v>32844493.673241958</v>
      </c>
      <c r="G50" s="654"/>
      <c r="H50" s="651"/>
      <c r="I50" s="651"/>
      <c r="J50" s="655"/>
      <c r="K50" s="655"/>
      <c r="L50" s="655"/>
      <c r="M50" s="655"/>
      <c r="N50" s="655"/>
      <c r="O50" s="655"/>
      <c r="P50" s="651"/>
      <c r="Q50" s="655"/>
    </row>
    <row r="51" spans="2:17">
      <c r="B51" s="577"/>
      <c r="C51" s="1546" t="s">
        <v>590</v>
      </c>
      <c r="D51" s="1541"/>
      <c r="E51" s="651"/>
      <c r="F51" s="652">
        <f>F47-F49-F50-F48</f>
        <v>163373310.32087058</v>
      </c>
      <c r="G51" s="652"/>
      <c r="H51" s="657"/>
      <c r="I51" s="651"/>
      <c r="J51" s="657"/>
      <c r="K51" s="657"/>
      <c r="L51" s="657"/>
      <c r="M51" s="657"/>
      <c r="N51" s="657"/>
      <c r="O51" s="657"/>
      <c r="P51" s="657"/>
      <c r="Q51" s="657"/>
    </row>
    <row r="52" spans="2:17">
      <c r="B52" s="577"/>
      <c r="C52" s="1541"/>
      <c r="D52" s="1541"/>
      <c r="E52" s="651"/>
      <c r="F52" s="649"/>
      <c r="G52" s="649"/>
      <c r="H52" s="658"/>
      <c r="I52" s="659"/>
      <c r="J52" s="659"/>
      <c r="K52" s="659"/>
      <c r="L52" s="659"/>
      <c r="M52" s="659"/>
      <c r="N52" s="659"/>
      <c r="O52" s="659"/>
      <c r="P52" s="659"/>
      <c r="Q52" s="659"/>
    </row>
    <row r="53" spans="2:17" ht="15.75">
      <c r="B53" s="577"/>
      <c r="C53" s="597" t="str">
        <f>"B.   Determine Annual Revenue Requirement with hypothetical "&amp;F17&amp;" basis point increase in ROE."</f>
        <v>B.   Determine Annual Revenue Requirement with hypothetical 0 basis point increase in ROE.</v>
      </c>
      <c r="D53" s="660"/>
      <c r="E53" s="660"/>
      <c r="F53" s="649"/>
      <c r="G53" s="649"/>
      <c r="H53" s="658"/>
      <c r="I53" s="659"/>
      <c r="J53" s="659"/>
      <c r="K53" s="659"/>
      <c r="L53" s="659"/>
      <c r="M53" s="659"/>
      <c r="N53" s="659"/>
      <c r="O53" s="659"/>
      <c r="P53" s="659"/>
      <c r="Q53" s="659"/>
    </row>
    <row r="54" spans="2:17">
      <c r="B54" s="577"/>
      <c r="C54" s="598"/>
      <c r="D54" s="660"/>
      <c r="E54" s="660"/>
      <c r="F54" s="649"/>
      <c r="G54" s="649"/>
      <c r="H54" s="658"/>
      <c r="I54" s="659"/>
      <c r="J54" s="659"/>
      <c r="K54" s="659"/>
      <c r="L54" s="659"/>
      <c r="M54" s="659"/>
      <c r="N54" s="659"/>
      <c r="O54" s="659"/>
      <c r="P54" s="659"/>
      <c r="Q54" s="659"/>
    </row>
    <row r="55" spans="2:17">
      <c r="B55" s="577"/>
      <c r="C55" s="598" t="str">
        <f>C51</f>
        <v xml:space="preserve">   Annual Revenue Requirement, Less Lease Payments, Return and Taxes</v>
      </c>
      <c r="D55" s="660"/>
      <c r="E55" s="660"/>
      <c r="F55" s="649">
        <f>F51</f>
        <v>163373310.32087058</v>
      </c>
      <c r="G55" s="649"/>
      <c r="H55" s="651"/>
      <c r="I55" s="651"/>
      <c r="J55" s="651"/>
      <c r="K55" s="651"/>
      <c r="L55" s="651"/>
      <c r="M55" s="651"/>
      <c r="N55" s="651"/>
      <c r="O55" s="651"/>
      <c r="P55" s="661"/>
      <c r="Q55" s="651"/>
    </row>
    <row r="56" spans="2:17">
      <c r="B56" s="577"/>
      <c r="C56" s="602" t="s">
        <v>299</v>
      </c>
      <c r="D56" s="662"/>
      <c r="E56" s="656"/>
      <c r="F56" s="663">
        <f>E30</f>
        <v>177517656.35088167</v>
      </c>
      <c r="G56" s="663"/>
      <c r="H56" s="656"/>
      <c r="I56" s="664"/>
      <c r="J56" s="656"/>
      <c r="K56" s="656"/>
      <c r="L56" s="656"/>
      <c r="M56" s="656"/>
      <c r="N56" s="656"/>
      <c r="O56" s="656"/>
      <c r="P56" s="656"/>
      <c r="Q56" s="656"/>
    </row>
    <row r="57" spans="2:17" ht="12.75" customHeight="1">
      <c r="B57" s="577"/>
      <c r="C57" s="620" t="s">
        <v>266</v>
      </c>
      <c r="D57" s="651"/>
      <c r="E57" s="651"/>
      <c r="F57" s="654">
        <f>E40</f>
        <v>32844493.673241958</v>
      </c>
      <c r="G57" s="654"/>
      <c r="H57" s="541"/>
      <c r="I57" s="647"/>
      <c r="J57" s="541"/>
      <c r="K57" s="589"/>
      <c r="Q57" s="589"/>
    </row>
    <row r="58" spans="2:17">
      <c r="B58" s="577"/>
      <c r="C58" s="656" t="str">
        <f>"   Annual Revenue Requirement, with "&amp;F17&amp;" Basis Point ROE increase"</f>
        <v xml:space="preserve">   Annual Revenue Requirement, with 0 Basis Point ROE increase</v>
      </c>
      <c r="D58" s="564"/>
      <c r="E58" s="541"/>
      <c r="F58" s="648">
        <f>SUM(F55:F57)</f>
        <v>373735460.34499419</v>
      </c>
      <c r="G58" s="648"/>
      <c r="H58" s="541"/>
      <c r="I58" s="647"/>
      <c r="J58" s="541"/>
      <c r="K58" s="589"/>
      <c r="Q58" s="589"/>
    </row>
    <row r="59" spans="2:17">
      <c r="B59" s="577"/>
      <c r="C59" s="636" t="str">
        <f>"   Depreciation  (TCOS, ln "&amp;TCOS!B174&amp;")"</f>
        <v xml:space="preserve">   Depreciation  (TCOS, ln 100)</v>
      </c>
      <c r="D59" s="564"/>
      <c r="E59" s="541"/>
      <c r="F59" s="665">
        <f>TCOS!L174</f>
        <v>79482248.980185345</v>
      </c>
      <c r="G59" s="665"/>
      <c r="H59" s="648"/>
      <c r="I59" s="647"/>
      <c r="J59" s="541"/>
      <c r="K59" s="589"/>
      <c r="Q59" s="589"/>
    </row>
    <row r="60" spans="2:17">
      <c r="B60" s="577"/>
      <c r="C60" s="1546" t="str">
        <f>"   Annual Rev. Req, w/ "&amp;F17&amp;" Basis Point ROE increase, less Depreciation"</f>
        <v xml:space="preserve">   Annual Rev. Req, w/ 0 Basis Point ROE increase, less Depreciation</v>
      </c>
      <c r="D60" s="1541"/>
      <c r="E60" s="541"/>
      <c r="F60" s="648">
        <f>F58-F59</f>
        <v>294253211.36480886</v>
      </c>
      <c r="G60" s="648"/>
      <c r="H60" s="541"/>
      <c r="I60" s="647"/>
      <c r="J60" s="541"/>
      <c r="K60" s="589"/>
      <c r="Q60" s="589"/>
    </row>
    <row r="61" spans="2:17">
      <c r="B61" s="577"/>
      <c r="C61" s="1541"/>
      <c r="D61" s="1541"/>
      <c r="E61" s="541"/>
      <c r="F61" s="541"/>
      <c r="G61" s="541"/>
      <c r="H61" s="541"/>
      <c r="I61" s="647"/>
      <c r="J61" s="541"/>
      <c r="K61" s="589"/>
      <c r="Q61" s="589"/>
    </row>
    <row r="62" spans="2:17" ht="15.75">
      <c r="B62" s="577"/>
      <c r="C62" s="597" t="str">
        <f>"C.   Determine FCR with hypothetical "&amp;F17&amp;" basis point ROE increase."</f>
        <v>C.   Determine FCR with hypothetical 0 basis point ROE increase.</v>
      </c>
      <c r="D62" s="564"/>
      <c r="E62" s="541"/>
      <c r="F62" s="541"/>
      <c r="G62" s="541"/>
      <c r="H62" s="541"/>
      <c r="I62" s="647"/>
      <c r="J62" s="541"/>
      <c r="K62" s="589"/>
      <c r="Q62" s="589"/>
    </row>
    <row r="63" spans="2:17">
      <c r="B63" s="577"/>
      <c r="C63" s="541"/>
      <c r="D63" s="564"/>
      <c r="E63" s="541"/>
      <c r="F63" s="541"/>
      <c r="G63" s="541"/>
      <c r="H63" s="541"/>
      <c r="I63" s="647"/>
      <c r="J63" s="541"/>
      <c r="K63" s="589"/>
      <c r="Q63" s="589"/>
    </row>
    <row r="64" spans="2:17">
      <c r="B64" s="577"/>
      <c r="C64" s="636" t="str">
        <f>"   Net Transmission Plant  (TCOS, ln "&amp;TCOS!B91&amp;")"</f>
        <v xml:space="preserve">   Net Transmission Plant  (TCOS, ln 42)</v>
      </c>
      <c r="D64" s="564"/>
      <c r="E64" s="541"/>
      <c r="F64" s="648">
        <f>TCOS!L91</f>
        <v>2914453076.2376151</v>
      </c>
      <c r="G64" s="648"/>
      <c r="H64" s="648"/>
      <c r="I64" s="666"/>
      <c r="J64" s="541"/>
      <c r="K64" s="589"/>
      <c r="Q64" s="589"/>
    </row>
    <row r="65" spans="2:17">
      <c r="B65" s="577"/>
      <c r="C65" s="656" t="str">
        <f>"   Annual Revenue Requirement, with "&amp;F17&amp;" Basis Point ROE increase"</f>
        <v xml:space="preserve">   Annual Revenue Requirement, with 0 Basis Point ROE increase</v>
      </c>
      <c r="D65" s="564"/>
      <c r="E65" s="541"/>
      <c r="F65" s="648">
        <f>F58</f>
        <v>373735460.34499419</v>
      </c>
      <c r="G65" s="648"/>
      <c r="H65" s="541"/>
      <c r="I65" s="647"/>
      <c r="J65" s="541"/>
      <c r="K65" s="589"/>
      <c r="Q65" s="589"/>
    </row>
    <row r="66" spans="2:17">
      <c r="B66" s="577"/>
      <c r="C66" s="656" t="str">
        <f>"   FCR with "&amp;F17&amp;" Basis Point increase in ROE"</f>
        <v xml:space="preserve">   FCR with 0 Basis Point increase in ROE</v>
      </c>
      <c r="D66" s="564"/>
      <c r="E66" s="541"/>
      <c r="F66" s="646">
        <f>F65/F64</f>
        <v>0.12823519561600366</v>
      </c>
      <c r="G66" s="646"/>
      <c r="H66" s="646"/>
      <c r="I66" s="647"/>
      <c r="J66" s="541"/>
      <c r="K66" s="589"/>
      <c r="Q66" s="589"/>
    </row>
    <row r="67" spans="2:17">
      <c r="B67" s="577"/>
      <c r="C67" s="370"/>
      <c r="D67" s="564"/>
      <c r="E67" s="541"/>
      <c r="F67" s="577"/>
      <c r="G67" s="577"/>
      <c r="H67" s="541"/>
      <c r="I67" s="647"/>
      <c r="J67" s="541"/>
      <c r="K67" s="589"/>
      <c r="Q67" s="589"/>
    </row>
    <row r="68" spans="2:17">
      <c r="B68" s="577"/>
      <c r="C68" s="656" t="str">
        <f>"   Annual Rev. Req, w / "&amp;F17&amp;" Basis Point ROE increase, less Dep."</f>
        <v xml:space="preserve">   Annual Rev. Req, w / 0 Basis Point ROE increase, less Dep.</v>
      </c>
      <c r="D68" s="564"/>
      <c r="E68" s="541"/>
      <c r="F68" s="648">
        <f>F60</f>
        <v>294253211.36480886</v>
      </c>
      <c r="G68" s="648"/>
      <c r="H68" s="541"/>
      <c r="I68" s="647"/>
      <c r="J68" s="541"/>
      <c r="K68" s="589"/>
      <c r="Q68" s="589"/>
    </row>
    <row r="69" spans="2:17">
      <c r="B69" s="577"/>
      <c r="C69" s="656" t="str">
        <f>"   FCR with "&amp;F17&amp;" Basis Point ROE increase, less Depreciation"</f>
        <v xml:space="preserve">   FCR with 0 Basis Point ROE increase, less Depreciation</v>
      </c>
      <c r="D69" s="564"/>
      <c r="E69" s="541"/>
      <c r="F69" s="646">
        <f>F68/F64</f>
        <v>0.1009634410531228</v>
      </c>
      <c r="G69" s="646"/>
      <c r="H69" s="541"/>
      <c r="I69" s="647"/>
      <c r="J69" s="541"/>
      <c r="K69" s="589"/>
      <c r="Q69" s="589"/>
    </row>
    <row r="70" spans="2:17">
      <c r="B70" s="577"/>
      <c r="C70" s="636" t="str">
        <f>"   FCR less Depreciation  (TCOS, ln "&amp;TCOS!B34&amp;")"</f>
        <v xml:space="preserve">   FCR less Depreciation  (TCOS, ln 10)</v>
      </c>
      <c r="D70" s="564"/>
      <c r="E70" s="541"/>
      <c r="F70" s="667">
        <f>TCOS!L34</f>
        <v>0.1009634410531228</v>
      </c>
      <c r="G70" s="667"/>
      <c r="H70" s="541"/>
      <c r="I70" s="647"/>
      <c r="J70" s="541"/>
      <c r="K70" s="589"/>
      <c r="Q70" s="589"/>
    </row>
    <row r="71" spans="2:17">
      <c r="B71" s="577"/>
      <c r="C71" s="1546" t="str">
        <f>"   Incremental FCR with "&amp;F17&amp;" Basis Point ROE increase, less Depreciation"</f>
        <v xml:space="preserve">   Incremental FCR with 0 Basis Point ROE increase, less Depreciation</v>
      </c>
      <c r="D71" s="1541"/>
      <c r="E71" s="541"/>
      <c r="F71" s="646">
        <f>F69-F70</f>
        <v>0</v>
      </c>
      <c r="G71" s="646"/>
      <c r="H71" s="541"/>
      <c r="I71" s="647"/>
      <c r="J71" s="541"/>
      <c r="K71" s="589"/>
      <c r="Q71" s="589"/>
    </row>
    <row r="72" spans="2:17">
      <c r="B72" s="577"/>
      <c r="C72" s="1541"/>
      <c r="D72" s="1541"/>
      <c r="E72" s="541"/>
      <c r="F72" s="646"/>
      <c r="G72" s="646"/>
      <c r="H72" s="541"/>
      <c r="I72" s="647"/>
      <c r="J72" s="541"/>
      <c r="K72" s="589"/>
      <c r="Q72" s="589"/>
    </row>
    <row r="73" spans="2:17" ht="18.75">
      <c r="B73" s="596" t="s">
        <v>173</v>
      </c>
      <c r="C73" s="595" t="s">
        <v>267</v>
      </c>
      <c r="D73" s="564"/>
      <c r="E73" s="541"/>
      <c r="F73" s="646"/>
      <c r="G73" s="646"/>
      <c r="H73" s="541"/>
      <c r="I73" s="647"/>
      <c r="J73" s="541"/>
      <c r="K73" s="589"/>
      <c r="Q73" s="589"/>
    </row>
    <row r="74" spans="2:17">
      <c r="B74" s="577"/>
      <c r="C74" s="656"/>
      <c r="D74" s="564"/>
      <c r="E74" s="541"/>
      <c r="F74" s="646"/>
      <c r="G74" s="646"/>
      <c r="H74" s="541"/>
      <c r="I74" s="647"/>
      <c r="J74" s="541"/>
      <c r="K74" s="589"/>
      <c r="Q74" s="589"/>
    </row>
    <row r="75" spans="2:17">
      <c r="B75" s="577"/>
      <c r="C75" s="656" t="str">
        <f>+"Average Transmission Plant Balance for "&amp;TCOS!L4&amp;" (TCOS, ln "&amp;TCOS!B68&amp;")"</f>
        <v>Average Transmission Plant Balance for 2020 (TCOS, ln 21)</v>
      </c>
      <c r="D75" s="564"/>
      <c r="H75" s="647">
        <f>TCOS!L68</f>
        <v>3636228763.8460765</v>
      </c>
      <c r="J75" s="541"/>
      <c r="K75" s="589"/>
      <c r="Q75" s="589"/>
    </row>
    <row r="76" spans="2:17">
      <c r="B76" s="577"/>
      <c r="C76" s="668" t="str">
        <f>"Annual Depreciation and Amortization Expense (TCOS, ln "&amp;TCOS!B174&amp;")"</f>
        <v>Annual Depreciation and Amortization Expense (TCOS, ln 100)</v>
      </c>
      <c r="D76" s="564"/>
      <c r="E76" s="541"/>
      <c r="H76" s="669">
        <f>TCOS!L174</f>
        <v>79482248.980185345</v>
      </c>
      <c r="I76" s="647"/>
      <c r="J76" s="541"/>
      <c r="K76" s="589"/>
      <c r="Q76" s="589"/>
    </row>
    <row r="77" spans="2:17">
      <c r="B77" s="577"/>
      <c r="C77" s="656" t="s">
        <v>268</v>
      </c>
      <c r="D77" s="564"/>
      <c r="E77" s="541"/>
      <c r="H77" s="646">
        <f>+H76/H75</f>
        <v>2.1858429197429304E-2</v>
      </c>
      <c r="I77" s="671"/>
      <c r="J77" s="541"/>
      <c r="K77" s="589"/>
      <c r="Q77" s="589"/>
    </row>
    <row r="78" spans="2:17">
      <c r="B78" s="577"/>
      <c r="C78" s="656" t="s">
        <v>269</v>
      </c>
      <c r="D78" s="564"/>
      <c r="E78" s="541"/>
      <c r="H78" s="671">
        <f>1/H77</f>
        <v>45.748941562443406</v>
      </c>
      <c r="I78" s="647"/>
      <c r="J78" s="541"/>
      <c r="K78" s="589"/>
      <c r="Q78" s="589"/>
    </row>
    <row r="79" spans="2:17">
      <c r="B79" s="577"/>
      <c r="C79" s="656" t="s">
        <v>270</v>
      </c>
      <c r="D79" s="564"/>
      <c r="E79" s="541"/>
      <c r="H79" s="672">
        <f>ROUND(H78,0)</f>
        <v>46</v>
      </c>
      <c r="I79" s="647"/>
      <c r="J79" s="541"/>
      <c r="K79" s="589"/>
      <c r="Q79" s="589"/>
    </row>
    <row r="80" spans="2:17">
      <c r="B80" s="577"/>
      <c r="C80" s="656"/>
      <c r="D80" s="564"/>
      <c r="E80" s="541"/>
      <c r="H80" s="672"/>
      <c r="I80" s="647"/>
      <c r="J80" s="541"/>
      <c r="K80" s="589"/>
      <c r="Q80" s="589"/>
    </row>
    <row r="81" spans="1:17">
      <c r="C81" s="673"/>
      <c r="D81" s="674"/>
      <c r="E81" s="674"/>
      <c r="F81" s="674"/>
      <c r="G81" s="674"/>
      <c r="H81" s="670"/>
      <c r="I81" s="670"/>
      <c r="J81" s="675"/>
      <c r="K81" s="675"/>
      <c r="L81" s="675"/>
      <c r="M81" s="675"/>
      <c r="N81" s="675"/>
      <c r="O81" s="675"/>
      <c r="Q81" s="675"/>
    </row>
    <row r="82" spans="1:17">
      <c r="B82" s="332"/>
      <c r="C82" s="673"/>
      <c r="D82" s="674"/>
      <c r="E82" s="674"/>
      <c r="F82" s="674"/>
      <c r="G82" s="674"/>
      <c r="H82" s="670"/>
      <c r="I82" s="670"/>
      <c r="J82" s="675"/>
      <c r="K82" s="675"/>
      <c r="L82" s="675"/>
      <c r="M82" s="675"/>
      <c r="N82" s="675"/>
      <c r="O82" s="675"/>
      <c r="Q82" s="675"/>
    </row>
    <row r="83" spans="1:17" ht="20.25">
      <c r="A83" s="676" t="s">
        <v>770</v>
      </c>
      <c r="B83" s="541"/>
      <c r="C83" s="656"/>
      <c r="D83" s="564"/>
      <c r="E83" s="541"/>
      <c r="F83" s="646"/>
      <c r="G83" s="646"/>
      <c r="H83" s="541"/>
      <c r="I83" s="647"/>
      <c r="L83" s="677"/>
      <c r="M83" s="677"/>
      <c r="N83" s="677"/>
      <c r="O83" s="592" t="str">
        <f>"Page "&amp;SUM(Q$3:Q83)&amp;" of "</f>
        <v xml:space="preserve">Page 2 of </v>
      </c>
      <c r="P83" s="593">
        <f>COUNT(Q$8:Q$58123)</f>
        <v>16</v>
      </c>
      <c r="Q83" s="761">
        <v>1</v>
      </c>
    </row>
    <row r="84" spans="1:17">
      <c r="B84" s="541"/>
      <c r="C84" s="541"/>
      <c r="D84" s="564"/>
      <c r="E84" s="541"/>
      <c r="F84" s="541"/>
      <c r="G84" s="541"/>
      <c r="H84" s="541"/>
      <c r="I84" s="647"/>
      <c r="J84" s="541"/>
      <c r="K84" s="589"/>
      <c r="Q84" s="589"/>
    </row>
    <row r="85" spans="1:17" ht="18">
      <c r="B85" s="596" t="s">
        <v>174</v>
      </c>
      <c r="C85" s="678" t="s">
        <v>290</v>
      </c>
      <c r="D85" s="564"/>
      <c r="E85" s="541"/>
      <c r="F85" s="541"/>
      <c r="G85" s="541"/>
      <c r="H85" s="541"/>
      <c r="I85" s="647"/>
      <c r="J85" s="647"/>
      <c r="K85" s="670"/>
      <c r="L85" s="647"/>
      <c r="M85" s="647"/>
      <c r="N85" s="647"/>
      <c r="O85" s="647"/>
      <c r="Q85" s="670"/>
    </row>
    <row r="86" spans="1:17" ht="18.75">
      <c r="B86" s="596"/>
      <c r="C86" s="595"/>
      <c r="D86" s="564"/>
      <c r="E86" s="541"/>
      <c r="F86" s="541"/>
      <c r="G86" s="541"/>
      <c r="H86" s="541"/>
      <c r="I86" s="647"/>
      <c r="J86" s="647"/>
      <c r="K86" s="670"/>
      <c r="L86" s="647"/>
      <c r="M86" s="647"/>
      <c r="N86" s="647"/>
      <c r="O86" s="647"/>
      <c r="Q86" s="670"/>
    </row>
    <row r="87" spans="1:17" ht="18.75">
      <c r="B87" s="596"/>
      <c r="C87" s="595" t="s">
        <v>291</v>
      </c>
      <c r="D87" s="564"/>
      <c r="E87" s="541"/>
      <c r="F87" s="541"/>
      <c r="G87" s="541"/>
      <c r="H87" s="541"/>
      <c r="I87" s="647"/>
      <c r="J87" s="647"/>
      <c r="K87" s="670"/>
      <c r="L87" s="647"/>
      <c r="M87" s="647"/>
      <c r="N87" s="647"/>
      <c r="O87" s="647"/>
      <c r="Q87" s="670"/>
    </row>
    <row r="88" spans="1:17" ht="15.75" thickBot="1">
      <c r="B88" s="332"/>
      <c r="C88" s="398"/>
      <c r="D88" s="564"/>
      <c r="E88" s="541"/>
      <c r="F88" s="541"/>
      <c r="G88" s="541"/>
      <c r="H88" s="541"/>
      <c r="I88" s="647"/>
      <c r="J88" s="647"/>
      <c r="K88" s="670"/>
      <c r="L88" s="647"/>
      <c r="M88" s="647"/>
      <c r="N88" s="647"/>
      <c r="O88" s="647"/>
      <c r="Q88" s="670"/>
    </row>
    <row r="89" spans="1:17" ht="15.75">
      <c r="B89" s="332"/>
      <c r="C89" s="597" t="s">
        <v>292</v>
      </c>
      <c r="D89" s="564"/>
      <c r="E89" s="541"/>
      <c r="F89" s="541"/>
      <c r="G89" s="541"/>
      <c r="H89" s="870"/>
      <c r="I89" s="541" t="s">
        <v>271</v>
      </c>
      <c r="J89" s="541"/>
      <c r="K89" s="589"/>
      <c r="L89" s="762">
        <f>+J95</f>
        <v>2020</v>
      </c>
      <c r="M89" s="744" t="s">
        <v>254</v>
      </c>
      <c r="N89" s="744" t="s">
        <v>255</v>
      </c>
      <c r="O89" s="745" t="s">
        <v>256</v>
      </c>
      <c r="Q89" s="589"/>
    </row>
    <row r="90" spans="1:17" ht="15.75">
      <c r="B90" s="332"/>
      <c r="C90" s="597"/>
      <c r="D90" s="564"/>
      <c r="E90" s="541"/>
      <c r="F90" s="541"/>
      <c r="H90" s="541"/>
      <c r="I90" s="682"/>
      <c r="J90" s="682"/>
      <c r="K90" s="683"/>
      <c r="L90" s="763" t="s">
        <v>455</v>
      </c>
      <c r="M90" s="764">
        <f>VLOOKUP(J95,C102:P161,10)</f>
        <v>1375796.0682175215</v>
      </c>
      <c r="N90" s="764">
        <f>VLOOKUP(J95,C102:P161,12)</f>
        <v>1375796.0682175215</v>
      </c>
      <c r="O90" s="765">
        <f>+N90-M90</f>
        <v>0</v>
      </c>
      <c r="Q90" s="683"/>
    </row>
    <row r="91" spans="1:17">
      <c r="B91" s="332"/>
      <c r="C91" s="685" t="s">
        <v>293</v>
      </c>
      <c r="D91" s="1544" t="s">
        <v>973</v>
      </c>
      <c r="E91" s="1544"/>
      <c r="F91" s="1544"/>
      <c r="G91" s="1544"/>
      <c r="H91" s="881"/>
      <c r="I91" s="647"/>
      <c r="J91" s="647"/>
      <c r="K91" s="670"/>
      <c r="L91" s="763" t="s">
        <v>456</v>
      </c>
      <c r="M91" s="766">
        <f>VLOOKUP(J95,C102:P161,6)</f>
        <v>1328793.2593550778</v>
      </c>
      <c r="N91" s="766">
        <f>VLOOKUP(J95,C102:P161,7)</f>
        <v>1328793.2593550778</v>
      </c>
      <c r="O91" s="767">
        <f>+N91-M91</f>
        <v>0</v>
      </c>
      <c r="Q91" s="670"/>
    </row>
    <row r="92" spans="1:17" ht="13.5" thickBot="1">
      <c r="B92" s="332"/>
      <c r="C92" s="687"/>
      <c r="D92" s="688"/>
      <c r="E92" s="672"/>
      <c r="F92" s="672"/>
      <c r="G92" s="672"/>
      <c r="H92" s="689"/>
      <c r="I92" s="647"/>
      <c r="J92" s="647"/>
      <c r="K92" s="670"/>
      <c r="L92" s="708" t="s">
        <v>457</v>
      </c>
      <c r="M92" s="768">
        <f>+M91-M90</f>
        <v>-47002.808862443781</v>
      </c>
      <c r="N92" s="768">
        <f>+N91-N90</f>
        <v>-47002.808862443781</v>
      </c>
      <c r="O92" s="769">
        <f>+O91-O90</f>
        <v>0</v>
      </c>
      <c r="Q92" s="670"/>
    </row>
    <row r="93" spans="1:17" ht="13.5" thickBot="1">
      <c r="B93" s="332"/>
      <c r="C93" s="690"/>
      <c r="D93" s="691"/>
      <c r="E93" s="689"/>
      <c r="F93" s="689"/>
      <c r="G93" s="689"/>
      <c r="H93" s="689"/>
      <c r="I93" s="689"/>
      <c r="J93" s="689"/>
      <c r="K93" s="692"/>
      <c r="L93" s="689"/>
      <c r="M93" s="689"/>
      <c r="N93" s="689"/>
      <c r="O93" s="689"/>
      <c r="P93" s="577"/>
      <c r="Q93" s="692"/>
    </row>
    <row r="94" spans="1:17" ht="13.5" thickBot="1">
      <c r="B94" s="332"/>
      <c r="C94" s="694" t="s">
        <v>294</v>
      </c>
      <c r="D94" s="695"/>
      <c r="E94" s="695"/>
      <c r="F94" s="695"/>
      <c r="G94" s="695"/>
      <c r="H94" s="695"/>
      <c r="I94" s="695"/>
      <c r="J94" s="695"/>
      <c r="K94" s="697"/>
      <c r="P94" s="698"/>
      <c r="Q94" s="697"/>
    </row>
    <row r="95" spans="1:17" ht="15">
      <c r="A95" s="693"/>
      <c r="B95" s="332"/>
      <c r="C95" s="700" t="s">
        <v>272</v>
      </c>
      <c r="D95" s="871">
        <v>13789271.550000001</v>
      </c>
      <c r="E95" s="656" t="s">
        <v>273</v>
      </c>
      <c r="H95" s="701"/>
      <c r="I95" s="701"/>
      <c r="J95" s="702">
        <v>2020</v>
      </c>
      <c r="K95" s="587"/>
      <c r="L95" s="1545" t="s">
        <v>274</v>
      </c>
      <c r="M95" s="1545"/>
      <c r="N95" s="1545"/>
      <c r="O95" s="1545"/>
      <c r="P95" s="589"/>
      <c r="Q95" s="587"/>
    </row>
    <row r="96" spans="1:17">
      <c r="A96" s="693"/>
      <c r="B96" s="332"/>
      <c r="C96" s="700" t="s">
        <v>275</v>
      </c>
      <c r="D96" s="882">
        <v>2008</v>
      </c>
      <c r="E96" s="700" t="s">
        <v>276</v>
      </c>
      <c r="F96" s="701"/>
      <c r="G96" s="701"/>
      <c r="I96" s="332"/>
      <c r="J96" s="875">
        <v>0</v>
      </c>
      <c r="K96" s="703"/>
      <c r="L96" s="670" t="s">
        <v>475</v>
      </c>
      <c r="P96" s="589"/>
      <c r="Q96" s="703"/>
    </row>
    <row r="97" spans="1:17">
      <c r="A97" s="693"/>
      <c r="B97" s="332"/>
      <c r="C97" s="700" t="s">
        <v>277</v>
      </c>
      <c r="D97" s="873">
        <v>6</v>
      </c>
      <c r="E97" s="700" t="s">
        <v>278</v>
      </c>
      <c r="F97" s="701"/>
      <c r="G97" s="701"/>
      <c r="I97" s="332"/>
      <c r="J97" s="704">
        <f>$F$70</f>
        <v>0.1009634410531228</v>
      </c>
      <c r="K97" s="705"/>
      <c r="L97" s="541" t="str">
        <f>"          INPUT TRUE-UP ARR (WITH &amp; WITHOUT INCENTIVES) FROM EACH PRIOR YEAR"</f>
        <v xml:space="preserve">          INPUT TRUE-UP ARR (WITH &amp; WITHOUT INCENTIVES) FROM EACH PRIOR YEAR</v>
      </c>
      <c r="P97" s="589"/>
      <c r="Q97" s="705"/>
    </row>
    <row r="98" spans="1:17">
      <c r="A98" s="693"/>
      <c r="B98" s="332"/>
      <c r="C98" s="700" t="s">
        <v>279</v>
      </c>
      <c r="D98" s="706">
        <f>H79</f>
        <v>46</v>
      </c>
      <c r="E98" s="700" t="s">
        <v>280</v>
      </c>
      <c r="F98" s="701"/>
      <c r="G98" s="701"/>
      <c r="I98" s="332"/>
      <c r="J98" s="704">
        <f>IF(H89="",J97,$F$69)</f>
        <v>0.1009634410531228</v>
      </c>
      <c r="K98" s="707"/>
      <c r="L98" s="541" t="s">
        <v>362</v>
      </c>
      <c r="M98" s="707"/>
      <c r="N98" s="707"/>
      <c r="O98" s="707"/>
      <c r="P98" s="589"/>
      <c r="Q98" s="707"/>
    </row>
    <row r="99" spans="1:17" ht="13.5" thickBot="1">
      <c r="A99" s="693"/>
      <c r="B99" s="332"/>
      <c r="C99" s="700" t="s">
        <v>281</v>
      </c>
      <c r="D99" s="874" t="s">
        <v>974</v>
      </c>
      <c r="E99" s="708" t="s">
        <v>282</v>
      </c>
      <c r="F99" s="709"/>
      <c r="G99" s="709"/>
      <c r="H99" s="710"/>
      <c r="I99" s="710"/>
      <c r="J99" s="686">
        <f>IF(D95=0,0,D95/D98)</f>
        <v>299766.77282608696</v>
      </c>
      <c r="K99" s="670"/>
      <c r="L99" s="670" t="s">
        <v>363</v>
      </c>
      <c r="M99" s="670"/>
      <c r="N99" s="670"/>
      <c r="O99" s="670"/>
      <c r="P99" s="589"/>
      <c r="Q99" s="670"/>
    </row>
    <row r="100" spans="1:17" ht="38.25">
      <c r="A100" s="528"/>
      <c r="B100" s="528"/>
      <c r="C100" s="711" t="s">
        <v>272</v>
      </c>
      <c r="D100" s="712" t="s">
        <v>283</v>
      </c>
      <c r="E100" s="713" t="s">
        <v>284</v>
      </c>
      <c r="F100" s="712" t="s">
        <v>285</v>
      </c>
      <c r="G100" s="712" t="s">
        <v>458</v>
      </c>
      <c r="H100" s="713" t="s">
        <v>356</v>
      </c>
      <c r="I100" s="714" t="s">
        <v>356</v>
      </c>
      <c r="J100" s="711" t="s">
        <v>295</v>
      </c>
      <c r="K100" s="715"/>
      <c r="L100" s="713" t="s">
        <v>358</v>
      </c>
      <c r="M100" s="713" t="s">
        <v>364</v>
      </c>
      <c r="N100" s="713" t="s">
        <v>358</v>
      </c>
      <c r="O100" s="713" t="s">
        <v>366</v>
      </c>
      <c r="P100" s="713" t="s">
        <v>286</v>
      </c>
      <c r="Q100" s="716"/>
    </row>
    <row r="101" spans="1:17" ht="13.5" thickBot="1">
      <c r="B101" s="332"/>
      <c r="C101" s="717" t="s">
        <v>177</v>
      </c>
      <c r="D101" s="718" t="s">
        <v>178</v>
      </c>
      <c r="E101" s="717" t="s">
        <v>37</v>
      </c>
      <c r="F101" s="718" t="s">
        <v>178</v>
      </c>
      <c r="G101" s="718" t="s">
        <v>178</v>
      </c>
      <c r="H101" s="719" t="s">
        <v>298</v>
      </c>
      <c r="I101" s="720" t="s">
        <v>300</v>
      </c>
      <c r="J101" s="721" t="s">
        <v>389</v>
      </c>
      <c r="K101" s="722"/>
      <c r="L101" s="719" t="s">
        <v>287</v>
      </c>
      <c r="M101" s="719" t="s">
        <v>287</v>
      </c>
      <c r="N101" s="719" t="s">
        <v>467</v>
      </c>
      <c r="O101" s="719" t="s">
        <v>467</v>
      </c>
      <c r="P101" s="719" t="s">
        <v>467</v>
      </c>
      <c r="Q101" s="587"/>
    </row>
    <row r="102" spans="1:17">
      <c r="B102" s="332"/>
      <c r="C102" s="723">
        <f>IF(D96= "","-",D96)</f>
        <v>2008</v>
      </c>
      <c r="D102" s="674">
        <f>+D95</f>
        <v>13789271.550000001</v>
      </c>
      <c r="E102" s="724">
        <f>+J99/12*(12-D97)</f>
        <v>149883.38641304348</v>
      </c>
      <c r="F102" s="770">
        <f t="shared" ref="F102:F133" si="0">+D102-E102</f>
        <v>13639388.163586957</v>
      </c>
      <c r="G102" s="674">
        <f t="shared" ref="G102:G133" si="1">+(D102+F102)/2</f>
        <v>13714329.856793478</v>
      </c>
      <c r="H102" s="725">
        <f>+J97*G102+E102</f>
        <v>1534529.3204924939</v>
      </c>
      <c r="I102" s="726">
        <f>+J98*G102+E102</f>
        <v>1534529.3204924939</v>
      </c>
      <c r="J102" s="727">
        <f t="shared" ref="J102:J133" si="2">+I102-H102</f>
        <v>0</v>
      </c>
      <c r="K102" s="727"/>
      <c r="L102" s="728">
        <v>0</v>
      </c>
      <c r="M102" s="771">
        <f t="shared" ref="M102:M133" si="3">IF(L102&lt;&gt;0,+H102-L102,0)</f>
        <v>0</v>
      </c>
      <c r="N102" s="728">
        <v>0</v>
      </c>
      <c r="O102" s="771">
        <f t="shared" ref="O102:O133" si="4">IF(N102&lt;&gt;0,+I102-N102,0)</f>
        <v>0</v>
      </c>
      <c r="P102" s="771">
        <f t="shared" ref="P102:P133" si="5">+O102-M102</f>
        <v>0</v>
      </c>
      <c r="Q102" s="675"/>
    </row>
    <row r="103" spans="1:17">
      <c r="B103" s="332"/>
      <c r="C103" s="723">
        <f>IF(D96="","-",+C102+1)</f>
        <v>2009</v>
      </c>
      <c r="D103" s="674">
        <f t="shared" ref="D103:D134" si="6">F102</f>
        <v>13639388.163586957</v>
      </c>
      <c r="E103" s="730">
        <f t="shared" ref="E103:E134" si="7">IF(D103&gt;$J$99,$J$99,D103)</f>
        <v>299766.77282608696</v>
      </c>
      <c r="F103" s="730">
        <f t="shared" si="0"/>
        <v>13339621.390760871</v>
      </c>
      <c r="G103" s="674">
        <f t="shared" si="1"/>
        <v>13489504.777173914</v>
      </c>
      <c r="H103" s="724">
        <f>+J97*G103+E103</f>
        <v>1661713.5932321039</v>
      </c>
      <c r="I103" s="731">
        <f>+J98*G103+E103</f>
        <v>1661713.5932321039</v>
      </c>
      <c r="J103" s="727">
        <f t="shared" si="2"/>
        <v>0</v>
      </c>
      <c r="K103" s="727"/>
      <c r="L103" s="732">
        <v>1124469.1016438</v>
      </c>
      <c r="M103" s="727">
        <f t="shared" si="3"/>
        <v>537244.49158830382</v>
      </c>
      <c r="N103" s="732">
        <v>1124469.1016438</v>
      </c>
      <c r="O103" s="727">
        <f t="shared" si="4"/>
        <v>537244.49158830382</v>
      </c>
      <c r="P103" s="727">
        <f t="shared" si="5"/>
        <v>0</v>
      </c>
      <c r="Q103" s="675"/>
    </row>
    <row r="104" spans="1:17">
      <c r="B104" s="332"/>
      <c r="C104" s="723">
        <f>IF(D96="","-",+C103+1)</f>
        <v>2010</v>
      </c>
      <c r="D104" s="674">
        <f t="shared" si="6"/>
        <v>13339621.390760871</v>
      </c>
      <c r="E104" s="730">
        <f t="shared" si="7"/>
        <v>299766.77282608696</v>
      </c>
      <c r="F104" s="730">
        <f t="shared" si="0"/>
        <v>13039854.617934784</v>
      </c>
      <c r="G104" s="674">
        <f t="shared" si="1"/>
        <v>13189738.004347827</v>
      </c>
      <c r="H104" s="724">
        <f>+J97*G104+E104</f>
        <v>1631448.1083341923</v>
      </c>
      <c r="I104" s="731">
        <f>+J98*G104+E104</f>
        <v>1631448.1083341923</v>
      </c>
      <c r="J104" s="727">
        <f t="shared" si="2"/>
        <v>0</v>
      </c>
      <c r="K104" s="727"/>
      <c r="L104" s="732">
        <v>2027403</v>
      </c>
      <c r="M104" s="727">
        <f t="shared" si="3"/>
        <v>-395954.89166580769</v>
      </c>
      <c r="N104" s="732">
        <v>2027403</v>
      </c>
      <c r="O104" s="727">
        <f t="shared" si="4"/>
        <v>-395954.89166580769</v>
      </c>
      <c r="P104" s="727">
        <f t="shared" si="5"/>
        <v>0</v>
      </c>
      <c r="Q104" s="675"/>
    </row>
    <row r="105" spans="1:17">
      <c r="B105" s="332"/>
      <c r="C105" s="723">
        <f>IF(D96="","-",+C104+1)</f>
        <v>2011</v>
      </c>
      <c r="D105" s="674">
        <f t="shared" si="6"/>
        <v>13039854.617934784</v>
      </c>
      <c r="E105" s="730">
        <f t="shared" si="7"/>
        <v>299766.77282608696</v>
      </c>
      <c r="F105" s="730">
        <f t="shared" si="0"/>
        <v>12740087.845108697</v>
      </c>
      <c r="G105" s="674">
        <f t="shared" si="1"/>
        <v>12889971.231521741</v>
      </c>
      <c r="H105" s="724">
        <f>+J97*G105+E105</f>
        <v>1601182.623436281</v>
      </c>
      <c r="I105" s="731">
        <f>+J98*G105+E105</f>
        <v>1601182.623436281</v>
      </c>
      <c r="J105" s="727">
        <f t="shared" si="2"/>
        <v>0</v>
      </c>
      <c r="K105" s="727"/>
      <c r="L105" s="732">
        <v>2050107</v>
      </c>
      <c r="M105" s="727">
        <f t="shared" si="3"/>
        <v>-448924.37656371901</v>
      </c>
      <c r="N105" s="732">
        <v>2050107</v>
      </c>
      <c r="O105" s="727">
        <f t="shared" si="4"/>
        <v>-448924.37656371901</v>
      </c>
      <c r="P105" s="727">
        <f t="shared" si="5"/>
        <v>0</v>
      </c>
      <c r="Q105" s="675"/>
    </row>
    <row r="106" spans="1:17">
      <c r="B106" s="332"/>
      <c r="C106" s="723">
        <f>IF(D96="","-",+C105+1)</f>
        <v>2012</v>
      </c>
      <c r="D106" s="674">
        <f t="shared" si="6"/>
        <v>12740087.845108697</v>
      </c>
      <c r="E106" s="730">
        <f t="shared" si="7"/>
        <v>299766.77282608696</v>
      </c>
      <c r="F106" s="730">
        <f t="shared" si="0"/>
        <v>12440321.07228261</v>
      </c>
      <c r="G106" s="674">
        <f t="shared" si="1"/>
        <v>12590204.458695654</v>
      </c>
      <c r="H106" s="724">
        <f>+J97*G106+E106</f>
        <v>1570917.1385383694</v>
      </c>
      <c r="I106" s="731">
        <f>+J98*G106+E106</f>
        <v>1570917.1385383694</v>
      </c>
      <c r="J106" s="727">
        <f t="shared" si="2"/>
        <v>0</v>
      </c>
      <c r="K106" s="727"/>
      <c r="L106" s="732">
        <v>1906118.0340840491</v>
      </c>
      <c r="M106" s="727">
        <f t="shared" si="3"/>
        <v>-335200.89554567961</v>
      </c>
      <c r="N106" s="732">
        <v>1906118.0340840491</v>
      </c>
      <c r="O106" s="727">
        <f t="shared" si="4"/>
        <v>-335200.89554567961</v>
      </c>
      <c r="P106" s="727">
        <f t="shared" si="5"/>
        <v>0</v>
      </c>
      <c r="Q106" s="675"/>
    </row>
    <row r="107" spans="1:17">
      <c r="B107" s="332"/>
      <c r="C107" s="723">
        <f>IF(D96="","-",+C106+1)</f>
        <v>2013</v>
      </c>
      <c r="D107" s="674">
        <f t="shared" si="6"/>
        <v>12440321.07228261</v>
      </c>
      <c r="E107" s="730">
        <f t="shared" si="7"/>
        <v>299766.77282608696</v>
      </c>
      <c r="F107" s="730">
        <f t="shared" si="0"/>
        <v>12140554.299456524</v>
      </c>
      <c r="G107" s="674">
        <f t="shared" si="1"/>
        <v>12290437.685869567</v>
      </c>
      <c r="H107" s="724">
        <f>+J97*G107+E107</f>
        <v>1540651.6536404579</v>
      </c>
      <c r="I107" s="731">
        <f>+J98*G107+E107</f>
        <v>1540651.6536404579</v>
      </c>
      <c r="J107" s="727">
        <f t="shared" si="2"/>
        <v>0</v>
      </c>
      <c r="K107" s="727"/>
      <c r="L107" s="732">
        <v>1915150</v>
      </c>
      <c r="M107" s="727">
        <f t="shared" si="3"/>
        <v>-374498.34635954211</v>
      </c>
      <c r="N107" s="732">
        <v>1915150</v>
      </c>
      <c r="O107" s="727">
        <f t="shared" si="4"/>
        <v>-374498.34635954211</v>
      </c>
      <c r="P107" s="727">
        <f t="shared" si="5"/>
        <v>0</v>
      </c>
      <c r="Q107" s="675"/>
    </row>
    <row r="108" spans="1:17">
      <c r="B108" s="332"/>
      <c r="C108" s="723">
        <f>IF(D96="","-",+C107+1)</f>
        <v>2014</v>
      </c>
      <c r="D108" s="674">
        <f t="shared" si="6"/>
        <v>12140554.299456524</v>
      </c>
      <c r="E108" s="730">
        <f t="shared" si="7"/>
        <v>299766.77282608696</v>
      </c>
      <c r="F108" s="730">
        <f t="shared" si="0"/>
        <v>11840787.526630437</v>
      </c>
      <c r="G108" s="674">
        <f t="shared" si="1"/>
        <v>11990670.91304348</v>
      </c>
      <c r="H108" s="724">
        <f>+J97*G108+E108</f>
        <v>1510386.1687425466</v>
      </c>
      <c r="I108" s="731">
        <f>+J98*G108+E108</f>
        <v>1510386.1687425466</v>
      </c>
      <c r="J108" s="727">
        <f t="shared" si="2"/>
        <v>0</v>
      </c>
      <c r="K108" s="727"/>
      <c r="L108" s="732">
        <v>1778172</v>
      </c>
      <c r="M108" s="727">
        <f t="shared" si="3"/>
        <v>-267785.83125745342</v>
      </c>
      <c r="N108" s="732">
        <v>1778172</v>
      </c>
      <c r="O108" s="727">
        <f t="shared" si="4"/>
        <v>-267785.83125745342</v>
      </c>
      <c r="P108" s="727">
        <f t="shared" si="5"/>
        <v>0</v>
      </c>
      <c r="Q108" s="675"/>
    </row>
    <row r="109" spans="1:17">
      <c r="B109" s="332"/>
      <c r="C109" s="723">
        <f>IF(D96="","-",+C108+1)</f>
        <v>2015</v>
      </c>
      <c r="D109" s="674">
        <f t="shared" si="6"/>
        <v>11840787.526630437</v>
      </c>
      <c r="E109" s="730">
        <f t="shared" si="7"/>
        <v>299766.77282608696</v>
      </c>
      <c r="F109" s="730">
        <f t="shared" si="0"/>
        <v>11541020.75380435</v>
      </c>
      <c r="G109" s="674">
        <f t="shared" si="1"/>
        <v>11690904.140217394</v>
      </c>
      <c r="H109" s="724">
        <f>+J97*G109+E109</f>
        <v>1480120.683844635</v>
      </c>
      <c r="I109" s="731">
        <f>+J98*G109+E109</f>
        <v>1480120.683844635</v>
      </c>
      <c r="J109" s="727">
        <f t="shared" si="2"/>
        <v>0</v>
      </c>
      <c r="K109" s="727"/>
      <c r="L109" s="732">
        <v>1790894</v>
      </c>
      <c r="M109" s="727">
        <f t="shared" si="3"/>
        <v>-310773.31615536497</v>
      </c>
      <c r="N109" s="732">
        <v>1790894</v>
      </c>
      <c r="O109" s="727">
        <f t="shared" si="4"/>
        <v>-310773.31615536497</v>
      </c>
      <c r="P109" s="727">
        <f t="shared" si="5"/>
        <v>0</v>
      </c>
      <c r="Q109" s="675"/>
    </row>
    <row r="110" spans="1:17">
      <c r="B110" s="332"/>
      <c r="C110" s="723">
        <f>IF(D96="","-",+C109+1)</f>
        <v>2016</v>
      </c>
      <c r="D110" s="674">
        <f t="shared" si="6"/>
        <v>11541020.75380435</v>
      </c>
      <c r="E110" s="730">
        <f t="shared" si="7"/>
        <v>299766.77282608696</v>
      </c>
      <c r="F110" s="730">
        <f t="shared" si="0"/>
        <v>11241253.980978264</v>
      </c>
      <c r="G110" s="674">
        <f t="shared" si="1"/>
        <v>11391137.367391307</v>
      </c>
      <c r="H110" s="724">
        <f>+J97*G110+E110</f>
        <v>1449855.1989467237</v>
      </c>
      <c r="I110" s="731">
        <f>+J98*G110+E110</f>
        <v>1449855.1989467237</v>
      </c>
      <c r="J110" s="727">
        <f t="shared" si="2"/>
        <v>0</v>
      </c>
      <c r="K110" s="727"/>
      <c r="L110" s="732">
        <v>1719834</v>
      </c>
      <c r="M110" s="727">
        <f t="shared" si="3"/>
        <v>-269978.80105327629</v>
      </c>
      <c r="N110" s="732">
        <v>1719834</v>
      </c>
      <c r="O110" s="727">
        <f t="shared" si="4"/>
        <v>-269978.80105327629</v>
      </c>
      <c r="P110" s="727">
        <f t="shared" si="5"/>
        <v>0</v>
      </c>
      <c r="Q110" s="675"/>
    </row>
    <row r="111" spans="1:17">
      <c r="B111" s="332"/>
      <c r="C111" s="723">
        <f>IF(D96="","-",+C110+1)</f>
        <v>2017</v>
      </c>
      <c r="D111" s="674">
        <f t="shared" si="6"/>
        <v>11241253.980978264</v>
      </c>
      <c r="E111" s="730">
        <f t="shared" si="7"/>
        <v>299766.77282608696</v>
      </c>
      <c r="F111" s="730">
        <f t="shared" si="0"/>
        <v>10941487.208152177</v>
      </c>
      <c r="G111" s="674">
        <f t="shared" si="1"/>
        <v>11091370.59456522</v>
      </c>
      <c r="H111" s="724">
        <f>+J97*G111+E111</f>
        <v>1419589.7140488122</v>
      </c>
      <c r="I111" s="731">
        <f>+J98*G111+E111</f>
        <v>1419589.7140488122</v>
      </c>
      <c r="J111" s="727">
        <f t="shared" si="2"/>
        <v>0</v>
      </c>
      <c r="K111" s="727"/>
      <c r="L111" s="732">
        <v>1743200</v>
      </c>
      <c r="M111" s="727">
        <f t="shared" si="3"/>
        <v>-323610.28595118783</v>
      </c>
      <c r="N111" s="732">
        <v>1743200</v>
      </c>
      <c r="O111" s="727">
        <f t="shared" si="4"/>
        <v>-323610.28595118783</v>
      </c>
      <c r="P111" s="727">
        <f t="shared" si="5"/>
        <v>0</v>
      </c>
      <c r="Q111" s="675"/>
    </row>
    <row r="112" spans="1:17">
      <c r="B112" s="332"/>
      <c r="C112" s="1451">
        <f>IF(D96="","-",+C111+1)</f>
        <v>2018</v>
      </c>
      <c r="D112" s="674">
        <f t="shared" si="6"/>
        <v>10941487.208152177</v>
      </c>
      <c r="E112" s="730">
        <f t="shared" si="7"/>
        <v>299766.77282608696</v>
      </c>
      <c r="F112" s="730">
        <f t="shared" si="0"/>
        <v>10641720.43532609</v>
      </c>
      <c r="G112" s="674">
        <f t="shared" si="1"/>
        <v>10791603.821739133</v>
      </c>
      <c r="H112" s="724">
        <f>+J97*G112+E112</f>
        <v>1389324.2291509006</v>
      </c>
      <c r="I112" s="731">
        <f>+J98*G112+E112</f>
        <v>1389324.2291509006</v>
      </c>
      <c r="J112" s="727">
        <f t="shared" si="2"/>
        <v>0</v>
      </c>
      <c r="K112" s="727"/>
      <c r="L112" s="732">
        <v>1501804</v>
      </c>
      <c r="M112" s="727">
        <f t="shared" si="3"/>
        <v>-112479.77084909938</v>
      </c>
      <c r="N112" s="732">
        <v>1501804</v>
      </c>
      <c r="O112" s="727">
        <f t="shared" si="4"/>
        <v>-112479.77084909938</v>
      </c>
      <c r="P112" s="727">
        <f t="shared" si="5"/>
        <v>0</v>
      </c>
      <c r="Q112" s="675"/>
    </row>
    <row r="113" spans="2:17">
      <c r="B113" s="332"/>
      <c r="C113" s="1451">
        <f>IF(D96="","-",+C112+1)</f>
        <v>2019</v>
      </c>
      <c r="D113" s="674">
        <f t="shared" si="6"/>
        <v>10641720.43532609</v>
      </c>
      <c r="E113" s="730">
        <f t="shared" si="7"/>
        <v>299766.77282608696</v>
      </c>
      <c r="F113" s="730">
        <f t="shared" si="0"/>
        <v>10341953.662500003</v>
      </c>
      <c r="G113" s="674">
        <f t="shared" si="1"/>
        <v>10491837.048913047</v>
      </c>
      <c r="H113" s="724">
        <f>+J97*G113+E113</f>
        <v>1359058.7442529893</v>
      </c>
      <c r="I113" s="731">
        <f>+J98*G113+E113</f>
        <v>1359058.7442529893</v>
      </c>
      <c r="J113" s="727">
        <f t="shared" si="2"/>
        <v>0</v>
      </c>
      <c r="K113" s="727"/>
      <c r="L113" s="732">
        <v>1444867</v>
      </c>
      <c r="M113" s="727">
        <f t="shared" si="3"/>
        <v>-85808.255747010699</v>
      </c>
      <c r="N113" s="732">
        <v>1444867</v>
      </c>
      <c r="O113" s="727">
        <f t="shared" si="4"/>
        <v>-85808.255747010699</v>
      </c>
      <c r="P113" s="727">
        <f t="shared" si="5"/>
        <v>0</v>
      </c>
      <c r="Q113" s="675"/>
    </row>
    <row r="114" spans="2:17">
      <c r="B114" s="332"/>
      <c r="C114" s="1452">
        <f>IF(D96="","-",+C113+1)</f>
        <v>2020</v>
      </c>
      <c r="D114" s="674">
        <f t="shared" si="6"/>
        <v>10341953.662500003</v>
      </c>
      <c r="E114" s="730">
        <f t="shared" si="7"/>
        <v>299766.77282608696</v>
      </c>
      <c r="F114" s="730">
        <f t="shared" si="0"/>
        <v>10042186.889673917</v>
      </c>
      <c r="G114" s="674">
        <f t="shared" si="1"/>
        <v>10192070.27608696</v>
      </c>
      <c r="H114" s="724">
        <f>+J97*G114+E114</f>
        <v>1328793.2593550778</v>
      </c>
      <c r="I114" s="731">
        <f>+J98*G114+E114</f>
        <v>1328793.2593550778</v>
      </c>
      <c r="J114" s="727">
        <f t="shared" si="2"/>
        <v>0</v>
      </c>
      <c r="K114" s="727"/>
      <c r="L114" s="732">
        <v>1375796.0682175215</v>
      </c>
      <c r="M114" s="727">
        <f t="shared" si="3"/>
        <v>-47002.808862443781</v>
      </c>
      <c r="N114" s="732">
        <v>1375796.0682175215</v>
      </c>
      <c r="O114" s="727">
        <f t="shared" si="4"/>
        <v>-47002.808862443781</v>
      </c>
      <c r="P114" s="727">
        <f t="shared" si="5"/>
        <v>0</v>
      </c>
      <c r="Q114" s="675"/>
    </row>
    <row r="115" spans="2:17">
      <c r="B115" s="332"/>
      <c r="C115" s="723">
        <f>IF(D96="","-",+C114+1)</f>
        <v>2021</v>
      </c>
      <c r="D115" s="674">
        <f t="shared" si="6"/>
        <v>10042186.889673917</v>
      </c>
      <c r="E115" s="730">
        <f t="shared" si="7"/>
        <v>299766.77282608696</v>
      </c>
      <c r="F115" s="730">
        <f t="shared" si="0"/>
        <v>9742420.1168478299</v>
      </c>
      <c r="G115" s="674">
        <f t="shared" si="1"/>
        <v>9892303.5032608733</v>
      </c>
      <c r="H115" s="724">
        <f>+J97*G115+E115</f>
        <v>1298527.7744571664</v>
      </c>
      <c r="I115" s="731">
        <f>+J98*G115+E115</f>
        <v>1298527.7744571664</v>
      </c>
      <c r="J115" s="727">
        <f t="shared" si="2"/>
        <v>0</v>
      </c>
      <c r="K115" s="727"/>
      <c r="L115" s="732"/>
      <c r="M115" s="727">
        <f t="shared" si="3"/>
        <v>0</v>
      </c>
      <c r="N115" s="732"/>
      <c r="O115" s="727">
        <f t="shared" si="4"/>
        <v>0</v>
      </c>
      <c r="P115" s="727">
        <f t="shared" si="5"/>
        <v>0</v>
      </c>
      <c r="Q115" s="675"/>
    </row>
    <row r="116" spans="2:17">
      <c r="B116" s="332"/>
      <c r="C116" s="723">
        <f>IF(D96="","-",+C115+1)</f>
        <v>2022</v>
      </c>
      <c r="D116" s="674">
        <f t="shared" si="6"/>
        <v>9742420.1168478299</v>
      </c>
      <c r="E116" s="730">
        <f t="shared" si="7"/>
        <v>299766.77282608696</v>
      </c>
      <c r="F116" s="730">
        <f t="shared" si="0"/>
        <v>9442653.3440217432</v>
      </c>
      <c r="G116" s="674">
        <f t="shared" si="1"/>
        <v>9592536.7304347865</v>
      </c>
      <c r="H116" s="724">
        <f>+J97*G116+E116</f>
        <v>1268262.2895592549</v>
      </c>
      <c r="I116" s="731">
        <f>+J98*G116+E116</f>
        <v>1268262.2895592549</v>
      </c>
      <c r="J116" s="727">
        <f t="shared" si="2"/>
        <v>0</v>
      </c>
      <c r="K116" s="727"/>
      <c r="L116" s="732"/>
      <c r="M116" s="727">
        <f t="shared" si="3"/>
        <v>0</v>
      </c>
      <c r="N116" s="732"/>
      <c r="O116" s="727">
        <f t="shared" si="4"/>
        <v>0</v>
      </c>
      <c r="P116" s="727">
        <f t="shared" si="5"/>
        <v>0</v>
      </c>
      <c r="Q116" s="675"/>
    </row>
    <row r="117" spans="2:17">
      <c r="B117" s="332"/>
      <c r="C117" s="723">
        <f>IF(D96="","-",+C116+1)</f>
        <v>2023</v>
      </c>
      <c r="D117" s="674">
        <f t="shared" si="6"/>
        <v>9442653.3440217432</v>
      </c>
      <c r="E117" s="730">
        <f t="shared" si="7"/>
        <v>299766.77282608696</v>
      </c>
      <c r="F117" s="730">
        <f t="shared" si="0"/>
        <v>9142886.5711956564</v>
      </c>
      <c r="G117" s="674">
        <f t="shared" si="1"/>
        <v>9292769.9576086998</v>
      </c>
      <c r="H117" s="724">
        <f>+J97*G117+E117</f>
        <v>1237996.8046613433</v>
      </c>
      <c r="I117" s="731">
        <f>+J98*G117+E117</f>
        <v>1237996.8046613433</v>
      </c>
      <c r="J117" s="727">
        <f t="shared" si="2"/>
        <v>0</v>
      </c>
      <c r="K117" s="727"/>
      <c r="L117" s="732"/>
      <c r="M117" s="727">
        <f t="shared" si="3"/>
        <v>0</v>
      </c>
      <c r="N117" s="732"/>
      <c r="O117" s="727">
        <f t="shared" si="4"/>
        <v>0</v>
      </c>
      <c r="P117" s="727">
        <f t="shared" si="5"/>
        <v>0</v>
      </c>
      <c r="Q117" s="675"/>
    </row>
    <row r="118" spans="2:17">
      <c r="B118" s="332"/>
      <c r="C118" s="723">
        <f>IF(D96="","-",+C117+1)</f>
        <v>2024</v>
      </c>
      <c r="D118" s="674">
        <f t="shared" si="6"/>
        <v>9142886.5711956564</v>
      </c>
      <c r="E118" s="730">
        <f t="shared" si="7"/>
        <v>299766.77282608696</v>
      </c>
      <c r="F118" s="730">
        <f t="shared" si="0"/>
        <v>8843119.7983695697</v>
      </c>
      <c r="G118" s="674">
        <f t="shared" si="1"/>
        <v>8993003.1847826131</v>
      </c>
      <c r="H118" s="724">
        <f>+J97*G118+E118</f>
        <v>1207731.3197634318</v>
      </c>
      <c r="I118" s="731">
        <f>+J98*G118+E118</f>
        <v>1207731.3197634318</v>
      </c>
      <c r="J118" s="727">
        <f t="shared" si="2"/>
        <v>0</v>
      </c>
      <c r="K118" s="727"/>
      <c r="L118" s="732"/>
      <c r="M118" s="727">
        <f t="shared" si="3"/>
        <v>0</v>
      </c>
      <c r="N118" s="732"/>
      <c r="O118" s="727">
        <f t="shared" si="4"/>
        <v>0</v>
      </c>
      <c r="P118" s="727">
        <f t="shared" si="5"/>
        <v>0</v>
      </c>
      <c r="Q118" s="675"/>
    </row>
    <row r="119" spans="2:17">
      <c r="B119" s="332"/>
      <c r="C119" s="723">
        <f>IF(D96="","-",+C118+1)</f>
        <v>2025</v>
      </c>
      <c r="D119" s="674">
        <f t="shared" si="6"/>
        <v>8843119.7983695697</v>
      </c>
      <c r="E119" s="730">
        <f t="shared" si="7"/>
        <v>299766.77282608696</v>
      </c>
      <c r="F119" s="730">
        <f t="shared" si="0"/>
        <v>8543353.025543483</v>
      </c>
      <c r="G119" s="674">
        <f t="shared" si="1"/>
        <v>8693236.4119565263</v>
      </c>
      <c r="H119" s="724">
        <f>+J97*G119+E119</f>
        <v>1177465.8348655205</v>
      </c>
      <c r="I119" s="731">
        <f>+J98*G119+E119</f>
        <v>1177465.8348655205</v>
      </c>
      <c r="J119" s="727">
        <f t="shared" si="2"/>
        <v>0</v>
      </c>
      <c r="K119" s="727"/>
      <c r="L119" s="732"/>
      <c r="M119" s="727">
        <f t="shared" si="3"/>
        <v>0</v>
      </c>
      <c r="N119" s="732"/>
      <c r="O119" s="727">
        <f t="shared" si="4"/>
        <v>0</v>
      </c>
      <c r="P119" s="727">
        <f t="shared" si="5"/>
        <v>0</v>
      </c>
      <c r="Q119" s="675"/>
    </row>
    <row r="120" spans="2:17">
      <c r="B120" s="332"/>
      <c r="C120" s="723">
        <f>IF(D96="","-",+C119+1)</f>
        <v>2026</v>
      </c>
      <c r="D120" s="674">
        <f t="shared" si="6"/>
        <v>8543353.025543483</v>
      </c>
      <c r="E120" s="730">
        <f t="shared" si="7"/>
        <v>299766.77282608696</v>
      </c>
      <c r="F120" s="730">
        <f t="shared" si="0"/>
        <v>8243586.2527173962</v>
      </c>
      <c r="G120" s="674">
        <f t="shared" si="1"/>
        <v>8393469.6391304396</v>
      </c>
      <c r="H120" s="724">
        <f>+J97*G120+E120</f>
        <v>1147200.3499676092</v>
      </c>
      <c r="I120" s="731">
        <f>+J98*G120+E120</f>
        <v>1147200.3499676092</v>
      </c>
      <c r="J120" s="727">
        <f t="shared" si="2"/>
        <v>0</v>
      </c>
      <c r="K120" s="727"/>
      <c r="L120" s="732"/>
      <c r="M120" s="727">
        <f t="shared" si="3"/>
        <v>0</v>
      </c>
      <c r="N120" s="732"/>
      <c r="O120" s="727">
        <f t="shared" si="4"/>
        <v>0</v>
      </c>
      <c r="P120" s="727">
        <f t="shared" si="5"/>
        <v>0</v>
      </c>
      <c r="Q120" s="675"/>
    </row>
    <row r="121" spans="2:17">
      <c r="B121" s="332"/>
      <c r="C121" s="723">
        <f>IF(D96="","-",+C120+1)</f>
        <v>2027</v>
      </c>
      <c r="D121" s="674">
        <f t="shared" si="6"/>
        <v>8243586.2527173962</v>
      </c>
      <c r="E121" s="730">
        <f t="shared" si="7"/>
        <v>299766.77282608696</v>
      </c>
      <c r="F121" s="730">
        <f t="shared" si="0"/>
        <v>7943819.4798913095</v>
      </c>
      <c r="G121" s="674">
        <f t="shared" si="1"/>
        <v>8093702.8663043529</v>
      </c>
      <c r="H121" s="724">
        <f>+J97*G121+E121</f>
        <v>1116934.8650696976</v>
      </c>
      <c r="I121" s="731">
        <f>+J98*G121+E121</f>
        <v>1116934.8650696976</v>
      </c>
      <c r="J121" s="727">
        <f t="shared" si="2"/>
        <v>0</v>
      </c>
      <c r="K121" s="727"/>
      <c r="L121" s="732"/>
      <c r="M121" s="727">
        <f t="shared" si="3"/>
        <v>0</v>
      </c>
      <c r="N121" s="732"/>
      <c r="O121" s="727">
        <f t="shared" si="4"/>
        <v>0</v>
      </c>
      <c r="P121" s="727">
        <f t="shared" si="5"/>
        <v>0</v>
      </c>
      <c r="Q121" s="675"/>
    </row>
    <row r="122" spans="2:17">
      <c r="B122" s="332"/>
      <c r="C122" s="723">
        <f>IF(D96="","-",+C121+1)</f>
        <v>2028</v>
      </c>
      <c r="D122" s="674">
        <f t="shared" si="6"/>
        <v>7943819.4798913095</v>
      </c>
      <c r="E122" s="730">
        <f t="shared" si="7"/>
        <v>299766.77282608696</v>
      </c>
      <c r="F122" s="730">
        <f t="shared" si="0"/>
        <v>7644052.7070652228</v>
      </c>
      <c r="G122" s="674">
        <f t="shared" si="1"/>
        <v>7793936.0934782661</v>
      </c>
      <c r="H122" s="724">
        <f>+J97*G122+E122</f>
        <v>1086669.3801717861</v>
      </c>
      <c r="I122" s="731">
        <f>+J98*G122+E122</f>
        <v>1086669.3801717861</v>
      </c>
      <c r="J122" s="727">
        <f t="shared" si="2"/>
        <v>0</v>
      </c>
      <c r="K122" s="727"/>
      <c r="L122" s="732"/>
      <c r="M122" s="727">
        <f t="shared" si="3"/>
        <v>0</v>
      </c>
      <c r="N122" s="732"/>
      <c r="O122" s="727">
        <f t="shared" si="4"/>
        <v>0</v>
      </c>
      <c r="P122" s="727">
        <f t="shared" si="5"/>
        <v>0</v>
      </c>
      <c r="Q122" s="675"/>
    </row>
    <row r="123" spans="2:17">
      <c r="B123" s="332"/>
      <c r="C123" s="723">
        <f>IF(D96="","-",+C122+1)</f>
        <v>2029</v>
      </c>
      <c r="D123" s="674">
        <f t="shared" si="6"/>
        <v>7644052.7070652228</v>
      </c>
      <c r="E123" s="730">
        <f t="shared" si="7"/>
        <v>299766.77282608696</v>
      </c>
      <c r="F123" s="730">
        <f t="shared" si="0"/>
        <v>7344285.9342391361</v>
      </c>
      <c r="G123" s="674">
        <f t="shared" si="1"/>
        <v>7494169.3206521794</v>
      </c>
      <c r="H123" s="724">
        <f>+J97*G123+E123</f>
        <v>1056403.8952738745</v>
      </c>
      <c r="I123" s="731">
        <f>+J98*G123+E123</f>
        <v>1056403.8952738745</v>
      </c>
      <c r="J123" s="727">
        <f t="shared" si="2"/>
        <v>0</v>
      </c>
      <c r="K123" s="727"/>
      <c r="L123" s="732"/>
      <c r="M123" s="727">
        <f t="shared" si="3"/>
        <v>0</v>
      </c>
      <c r="N123" s="732"/>
      <c r="O123" s="727">
        <f t="shared" si="4"/>
        <v>0</v>
      </c>
      <c r="P123" s="727">
        <f t="shared" si="5"/>
        <v>0</v>
      </c>
      <c r="Q123" s="675"/>
    </row>
    <row r="124" spans="2:17">
      <c r="B124" s="332"/>
      <c r="C124" s="723">
        <f>IF(D96="","-",+C123+1)</f>
        <v>2030</v>
      </c>
      <c r="D124" s="674">
        <f t="shared" si="6"/>
        <v>7344285.9342391361</v>
      </c>
      <c r="E124" s="730">
        <f t="shared" si="7"/>
        <v>299766.77282608696</v>
      </c>
      <c r="F124" s="730">
        <f t="shared" si="0"/>
        <v>7044519.1614130493</v>
      </c>
      <c r="G124" s="674">
        <f t="shared" si="1"/>
        <v>7194402.5478260927</v>
      </c>
      <c r="H124" s="724">
        <f>+J97*G124+E124</f>
        <v>1026138.4103759632</v>
      </c>
      <c r="I124" s="731">
        <f>+J98*G124+E124</f>
        <v>1026138.4103759632</v>
      </c>
      <c r="J124" s="727">
        <f t="shared" si="2"/>
        <v>0</v>
      </c>
      <c r="K124" s="727"/>
      <c r="L124" s="732"/>
      <c r="M124" s="727">
        <f t="shared" si="3"/>
        <v>0</v>
      </c>
      <c r="N124" s="732"/>
      <c r="O124" s="727">
        <f t="shared" si="4"/>
        <v>0</v>
      </c>
      <c r="P124" s="727">
        <f t="shared" si="5"/>
        <v>0</v>
      </c>
      <c r="Q124" s="675"/>
    </row>
    <row r="125" spans="2:17">
      <c r="B125" s="332"/>
      <c r="C125" s="723">
        <f>IF(D96="","-",+C124+1)</f>
        <v>2031</v>
      </c>
      <c r="D125" s="674">
        <f t="shared" si="6"/>
        <v>7044519.1614130493</v>
      </c>
      <c r="E125" s="730">
        <f t="shared" si="7"/>
        <v>299766.77282608696</v>
      </c>
      <c r="F125" s="730">
        <f t="shared" si="0"/>
        <v>6744752.3885869626</v>
      </c>
      <c r="G125" s="674">
        <f t="shared" si="1"/>
        <v>6894635.775000006</v>
      </c>
      <c r="H125" s="724">
        <f>+J97*G125+E125</f>
        <v>995872.92547805165</v>
      </c>
      <c r="I125" s="731">
        <f>+J98*G125+E125</f>
        <v>995872.92547805165</v>
      </c>
      <c r="J125" s="727">
        <f t="shared" si="2"/>
        <v>0</v>
      </c>
      <c r="K125" s="727"/>
      <c r="L125" s="732"/>
      <c r="M125" s="727">
        <f t="shared" si="3"/>
        <v>0</v>
      </c>
      <c r="N125" s="732"/>
      <c r="O125" s="727">
        <f t="shared" si="4"/>
        <v>0</v>
      </c>
      <c r="P125" s="727">
        <f t="shared" si="5"/>
        <v>0</v>
      </c>
      <c r="Q125" s="675"/>
    </row>
    <row r="126" spans="2:17">
      <c r="B126" s="332"/>
      <c r="C126" s="723">
        <f>IF(D96="","-",+C125+1)</f>
        <v>2032</v>
      </c>
      <c r="D126" s="674">
        <f t="shared" si="6"/>
        <v>6744752.3885869626</v>
      </c>
      <c r="E126" s="730">
        <f t="shared" si="7"/>
        <v>299766.77282608696</v>
      </c>
      <c r="F126" s="730">
        <f t="shared" si="0"/>
        <v>6444985.6157608759</v>
      </c>
      <c r="G126" s="674">
        <f t="shared" si="1"/>
        <v>6594869.0021739192</v>
      </c>
      <c r="H126" s="724">
        <f>+J97*G126+E126</f>
        <v>965607.44058014022</v>
      </c>
      <c r="I126" s="731">
        <f>+J98*G126+E126</f>
        <v>965607.44058014022</v>
      </c>
      <c r="J126" s="727">
        <f t="shared" si="2"/>
        <v>0</v>
      </c>
      <c r="K126" s="727"/>
      <c r="L126" s="732"/>
      <c r="M126" s="727">
        <f t="shared" si="3"/>
        <v>0</v>
      </c>
      <c r="N126" s="732"/>
      <c r="O126" s="727">
        <f t="shared" si="4"/>
        <v>0</v>
      </c>
      <c r="P126" s="727">
        <f t="shared" si="5"/>
        <v>0</v>
      </c>
      <c r="Q126" s="675"/>
    </row>
    <row r="127" spans="2:17">
      <c r="B127" s="332"/>
      <c r="C127" s="723">
        <f>IF(D96="","-",+C126+1)</f>
        <v>2033</v>
      </c>
      <c r="D127" s="674">
        <f t="shared" si="6"/>
        <v>6444985.6157608759</v>
      </c>
      <c r="E127" s="730">
        <f t="shared" si="7"/>
        <v>299766.77282608696</v>
      </c>
      <c r="F127" s="730">
        <f t="shared" si="0"/>
        <v>6145218.8429347891</v>
      </c>
      <c r="G127" s="674">
        <f t="shared" si="1"/>
        <v>6295102.2293478325</v>
      </c>
      <c r="H127" s="724">
        <f>+J97*G127+E127</f>
        <v>935341.95568222879</v>
      </c>
      <c r="I127" s="731">
        <f>+J98*G127+E127</f>
        <v>935341.95568222879</v>
      </c>
      <c r="J127" s="727">
        <f t="shared" si="2"/>
        <v>0</v>
      </c>
      <c r="K127" s="727"/>
      <c r="L127" s="732"/>
      <c r="M127" s="727">
        <f t="shared" si="3"/>
        <v>0</v>
      </c>
      <c r="N127" s="732"/>
      <c r="O127" s="727">
        <f t="shared" si="4"/>
        <v>0</v>
      </c>
      <c r="P127" s="727">
        <f t="shared" si="5"/>
        <v>0</v>
      </c>
      <c r="Q127" s="675"/>
    </row>
    <row r="128" spans="2:17">
      <c r="B128" s="332"/>
      <c r="C128" s="723">
        <f>IF(D96="","-",+C127+1)</f>
        <v>2034</v>
      </c>
      <c r="D128" s="674">
        <f t="shared" si="6"/>
        <v>6145218.8429347891</v>
      </c>
      <c r="E128" s="730">
        <f t="shared" si="7"/>
        <v>299766.77282608696</v>
      </c>
      <c r="F128" s="730">
        <f t="shared" si="0"/>
        <v>5845452.0701087024</v>
      </c>
      <c r="G128" s="674">
        <f t="shared" si="1"/>
        <v>5995335.4565217458</v>
      </c>
      <c r="H128" s="724">
        <f>+J97*G128+E128</f>
        <v>905076.47078431735</v>
      </c>
      <c r="I128" s="731">
        <f>+J98*G128+E128</f>
        <v>905076.47078431735</v>
      </c>
      <c r="J128" s="727">
        <f t="shared" si="2"/>
        <v>0</v>
      </c>
      <c r="K128" s="727"/>
      <c r="L128" s="732"/>
      <c r="M128" s="727">
        <f t="shared" si="3"/>
        <v>0</v>
      </c>
      <c r="N128" s="732"/>
      <c r="O128" s="727">
        <f t="shared" si="4"/>
        <v>0</v>
      </c>
      <c r="P128" s="727">
        <f t="shared" si="5"/>
        <v>0</v>
      </c>
      <c r="Q128" s="675"/>
    </row>
    <row r="129" spans="2:17">
      <c r="B129" s="332"/>
      <c r="C129" s="723">
        <f>IF(D96="","-",+C128+1)</f>
        <v>2035</v>
      </c>
      <c r="D129" s="674">
        <f t="shared" si="6"/>
        <v>5845452.0701087024</v>
      </c>
      <c r="E129" s="730">
        <f t="shared" si="7"/>
        <v>299766.77282608696</v>
      </c>
      <c r="F129" s="730">
        <f t="shared" si="0"/>
        <v>5545685.2972826157</v>
      </c>
      <c r="G129" s="674">
        <f t="shared" si="1"/>
        <v>5695568.683695659</v>
      </c>
      <c r="H129" s="724">
        <f>+J97*G129+E129</f>
        <v>874810.9858864058</v>
      </c>
      <c r="I129" s="731">
        <f>+J98*G129+E129</f>
        <v>874810.9858864058</v>
      </c>
      <c r="J129" s="727">
        <f t="shared" si="2"/>
        <v>0</v>
      </c>
      <c r="K129" s="727"/>
      <c r="L129" s="732"/>
      <c r="M129" s="727">
        <f t="shared" si="3"/>
        <v>0</v>
      </c>
      <c r="N129" s="732"/>
      <c r="O129" s="727">
        <f t="shared" si="4"/>
        <v>0</v>
      </c>
      <c r="P129" s="727">
        <f t="shared" si="5"/>
        <v>0</v>
      </c>
      <c r="Q129" s="675"/>
    </row>
    <row r="130" spans="2:17">
      <c r="B130" s="332"/>
      <c r="C130" s="723">
        <f>IF(D96="","-",+C129+1)</f>
        <v>2036</v>
      </c>
      <c r="D130" s="674">
        <f t="shared" si="6"/>
        <v>5545685.2972826157</v>
      </c>
      <c r="E130" s="730">
        <f t="shared" si="7"/>
        <v>299766.77282608696</v>
      </c>
      <c r="F130" s="730">
        <f t="shared" si="0"/>
        <v>5245918.5244565289</v>
      </c>
      <c r="G130" s="674">
        <f t="shared" si="1"/>
        <v>5395801.9108695723</v>
      </c>
      <c r="H130" s="724">
        <f>+J97*G130+E130</f>
        <v>844545.50098849437</v>
      </c>
      <c r="I130" s="731">
        <f>+J98*G130+E130</f>
        <v>844545.50098849437</v>
      </c>
      <c r="J130" s="727">
        <f t="shared" si="2"/>
        <v>0</v>
      </c>
      <c r="K130" s="727"/>
      <c r="L130" s="732"/>
      <c r="M130" s="727">
        <f t="shared" si="3"/>
        <v>0</v>
      </c>
      <c r="N130" s="732"/>
      <c r="O130" s="727">
        <f t="shared" si="4"/>
        <v>0</v>
      </c>
      <c r="P130" s="727">
        <f t="shared" si="5"/>
        <v>0</v>
      </c>
      <c r="Q130" s="675"/>
    </row>
    <row r="131" spans="2:17">
      <c r="B131" s="332"/>
      <c r="C131" s="723">
        <f>IF(D96="","-",+C130+1)</f>
        <v>2037</v>
      </c>
      <c r="D131" s="674">
        <f t="shared" si="6"/>
        <v>5245918.5244565289</v>
      </c>
      <c r="E131" s="730">
        <f t="shared" si="7"/>
        <v>299766.77282608696</v>
      </c>
      <c r="F131" s="730">
        <f t="shared" si="0"/>
        <v>4946151.7516304422</v>
      </c>
      <c r="G131" s="674">
        <f t="shared" si="1"/>
        <v>5096035.1380434856</v>
      </c>
      <c r="H131" s="724">
        <f>+J97*G131+E131</f>
        <v>814280.01609058294</v>
      </c>
      <c r="I131" s="731">
        <f>+J98*G131+E131</f>
        <v>814280.01609058294</v>
      </c>
      <c r="J131" s="727">
        <f t="shared" si="2"/>
        <v>0</v>
      </c>
      <c r="K131" s="727"/>
      <c r="L131" s="732"/>
      <c r="M131" s="727">
        <f t="shared" si="3"/>
        <v>0</v>
      </c>
      <c r="N131" s="732"/>
      <c r="O131" s="727">
        <f t="shared" si="4"/>
        <v>0</v>
      </c>
      <c r="P131" s="727">
        <f t="shared" si="5"/>
        <v>0</v>
      </c>
      <c r="Q131" s="675"/>
    </row>
    <row r="132" spans="2:17">
      <c r="B132" s="332"/>
      <c r="C132" s="723">
        <f>IF(D96="","-",+C131+1)</f>
        <v>2038</v>
      </c>
      <c r="D132" s="674">
        <f t="shared" si="6"/>
        <v>4946151.7516304422</v>
      </c>
      <c r="E132" s="730">
        <f t="shared" si="7"/>
        <v>299766.77282608696</v>
      </c>
      <c r="F132" s="730">
        <f t="shared" si="0"/>
        <v>4646384.9788043555</v>
      </c>
      <c r="G132" s="674">
        <f t="shared" si="1"/>
        <v>4796268.3652173989</v>
      </c>
      <c r="H132" s="724">
        <f>+J97*G132+E132</f>
        <v>784014.53119267151</v>
      </c>
      <c r="I132" s="731">
        <f>+J98*G132+E132</f>
        <v>784014.53119267151</v>
      </c>
      <c r="J132" s="727">
        <f t="shared" si="2"/>
        <v>0</v>
      </c>
      <c r="K132" s="727"/>
      <c r="L132" s="732"/>
      <c r="M132" s="727">
        <f t="shared" si="3"/>
        <v>0</v>
      </c>
      <c r="N132" s="732"/>
      <c r="O132" s="727">
        <f t="shared" si="4"/>
        <v>0</v>
      </c>
      <c r="P132" s="727">
        <f t="shared" si="5"/>
        <v>0</v>
      </c>
      <c r="Q132" s="675"/>
    </row>
    <row r="133" spans="2:17">
      <c r="B133" s="332"/>
      <c r="C133" s="723">
        <f>IF(D96="","-",+C132+1)</f>
        <v>2039</v>
      </c>
      <c r="D133" s="674">
        <f t="shared" si="6"/>
        <v>4646384.9788043555</v>
      </c>
      <c r="E133" s="730">
        <f t="shared" si="7"/>
        <v>299766.77282608696</v>
      </c>
      <c r="F133" s="730">
        <f t="shared" si="0"/>
        <v>4346618.2059782688</v>
      </c>
      <c r="G133" s="674">
        <f t="shared" si="1"/>
        <v>4496501.5923913121</v>
      </c>
      <c r="H133" s="724">
        <f>+J97*G133+E133</f>
        <v>753749.04629475996</v>
      </c>
      <c r="I133" s="731">
        <f>+J98*G133+E133</f>
        <v>753749.04629475996</v>
      </c>
      <c r="J133" s="727">
        <f t="shared" si="2"/>
        <v>0</v>
      </c>
      <c r="K133" s="727"/>
      <c r="L133" s="732"/>
      <c r="M133" s="727">
        <f t="shared" si="3"/>
        <v>0</v>
      </c>
      <c r="N133" s="732"/>
      <c r="O133" s="727">
        <f t="shared" si="4"/>
        <v>0</v>
      </c>
      <c r="P133" s="727">
        <f t="shared" si="5"/>
        <v>0</v>
      </c>
      <c r="Q133" s="675"/>
    </row>
    <row r="134" spans="2:17">
      <c r="B134" s="332"/>
      <c r="C134" s="723">
        <f>IF(D96="","-",+C133+1)</f>
        <v>2040</v>
      </c>
      <c r="D134" s="674">
        <f t="shared" si="6"/>
        <v>4346618.2059782688</v>
      </c>
      <c r="E134" s="730">
        <f t="shared" si="7"/>
        <v>299766.77282608696</v>
      </c>
      <c r="F134" s="730">
        <f t="shared" ref="F134:F161" si="8">+D134-E134</f>
        <v>4046851.433152182</v>
      </c>
      <c r="G134" s="674">
        <f t="shared" ref="G134:G161" si="9">+(D134+F134)/2</f>
        <v>4196734.8195652254</v>
      </c>
      <c r="H134" s="724">
        <f>+J97*G134+E134</f>
        <v>723483.56139684853</v>
      </c>
      <c r="I134" s="731">
        <f>+J98*G134+E134</f>
        <v>723483.56139684853</v>
      </c>
      <c r="J134" s="727">
        <f t="shared" ref="J134:J161" si="10">+I134-H134</f>
        <v>0</v>
      </c>
      <c r="K134" s="727"/>
      <c r="L134" s="732"/>
      <c r="M134" s="727">
        <f t="shared" ref="M134:M161" si="11">IF(L134&lt;&gt;0,+H134-L134,0)</f>
        <v>0</v>
      </c>
      <c r="N134" s="732"/>
      <c r="O134" s="727">
        <f t="shared" ref="O134:O161" si="12">IF(N134&lt;&gt;0,+I134-N134,0)</f>
        <v>0</v>
      </c>
      <c r="P134" s="727">
        <f t="shared" ref="P134:P161" si="13">+O134-M134</f>
        <v>0</v>
      </c>
      <c r="Q134" s="675"/>
    </row>
    <row r="135" spans="2:17">
      <c r="B135" s="332"/>
      <c r="C135" s="723">
        <f>IF(D96="","-",+C134+1)</f>
        <v>2041</v>
      </c>
      <c r="D135" s="674">
        <f t="shared" ref="D135:D161" si="14">F134</f>
        <v>4046851.433152182</v>
      </c>
      <c r="E135" s="730">
        <f t="shared" ref="E135:E161" si="15">IF(D135&gt;$J$99,$J$99,D135)</f>
        <v>299766.77282608696</v>
      </c>
      <c r="F135" s="730">
        <f t="shared" si="8"/>
        <v>3747084.6603260953</v>
      </c>
      <c r="G135" s="674">
        <f t="shared" si="9"/>
        <v>3896968.0467391387</v>
      </c>
      <c r="H135" s="724">
        <f>+J97*G135+E135</f>
        <v>693218.07649893709</v>
      </c>
      <c r="I135" s="731">
        <f>+J98*G135+E135</f>
        <v>693218.07649893709</v>
      </c>
      <c r="J135" s="727">
        <f t="shared" si="10"/>
        <v>0</v>
      </c>
      <c r="K135" s="727"/>
      <c r="L135" s="732"/>
      <c r="M135" s="727">
        <f t="shared" si="11"/>
        <v>0</v>
      </c>
      <c r="N135" s="732"/>
      <c r="O135" s="727">
        <f t="shared" si="12"/>
        <v>0</v>
      </c>
      <c r="P135" s="727">
        <f t="shared" si="13"/>
        <v>0</v>
      </c>
      <c r="Q135" s="675"/>
    </row>
    <row r="136" spans="2:17">
      <c r="B136" s="332"/>
      <c r="C136" s="723">
        <f>IF(D96="","-",+C135+1)</f>
        <v>2042</v>
      </c>
      <c r="D136" s="674">
        <f t="shared" si="14"/>
        <v>3747084.6603260953</v>
      </c>
      <c r="E136" s="730">
        <f t="shared" si="15"/>
        <v>299766.77282608696</v>
      </c>
      <c r="F136" s="730">
        <f t="shared" si="8"/>
        <v>3447317.8875000086</v>
      </c>
      <c r="G136" s="674">
        <f t="shared" si="9"/>
        <v>3597201.2739130519</v>
      </c>
      <c r="H136" s="724">
        <f>+J97*G136+E136</f>
        <v>662952.59160102555</v>
      </c>
      <c r="I136" s="731">
        <f>+J98*G136+E136</f>
        <v>662952.59160102555</v>
      </c>
      <c r="J136" s="727">
        <f t="shared" si="10"/>
        <v>0</v>
      </c>
      <c r="K136" s="727"/>
      <c r="L136" s="732"/>
      <c r="M136" s="727">
        <f t="shared" si="11"/>
        <v>0</v>
      </c>
      <c r="N136" s="732"/>
      <c r="O136" s="727">
        <f t="shared" si="12"/>
        <v>0</v>
      </c>
      <c r="P136" s="727">
        <f t="shared" si="13"/>
        <v>0</v>
      </c>
      <c r="Q136" s="675"/>
    </row>
    <row r="137" spans="2:17">
      <c r="B137" s="332"/>
      <c r="C137" s="723">
        <f>IF(D96="","-",+C136+1)</f>
        <v>2043</v>
      </c>
      <c r="D137" s="674">
        <f t="shared" si="14"/>
        <v>3447317.8875000086</v>
      </c>
      <c r="E137" s="730">
        <f t="shared" si="15"/>
        <v>299766.77282608696</v>
      </c>
      <c r="F137" s="730">
        <f t="shared" si="8"/>
        <v>3147551.1146739218</v>
      </c>
      <c r="G137" s="674">
        <f t="shared" si="9"/>
        <v>3297434.5010869652</v>
      </c>
      <c r="H137" s="724">
        <f>+J97*G137+E137</f>
        <v>632687.10670311423</v>
      </c>
      <c r="I137" s="731">
        <f>+J98*G137+E137</f>
        <v>632687.10670311423</v>
      </c>
      <c r="J137" s="727">
        <f t="shared" si="10"/>
        <v>0</v>
      </c>
      <c r="K137" s="727"/>
      <c r="L137" s="732"/>
      <c r="M137" s="727">
        <f t="shared" si="11"/>
        <v>0</v>
      </c>
      <c r="N137" s="732"/>
      <c r="O137" s="727">
        <f t="shared" si="12"/>
        <v>0</v>
      </c>
      <c r="P137" s="727">
        <f t="shared" si="13"/>
        <v>0</v>
      </c>
      <c r="Q137" s="675"/>
    </row>
    <row r="138" spans="2:17">
      <c r="B138" s="332"/>
      <c r="C138" s="723">
        <f>IF(D96="","-",+C137+1)</f>
        <v>2044</v>
      </c>
      <c r="D138" s="674">
        <f t="shared" si="14"/>
        <v>3147551.1146739218</v>
      </c>
      <c r="E138" s="730">
        <f t="shared" si="15"/>
        <v>299766.77282608696</v>
      </c>
      <c r="F138" s="730">
        <f t="shared" si="8"/>
        <v>2847784.3418478351</v>
      </c>
      <c r="G138" s="674">
        <f t="shared" si="9"/>
        <v>2997667.7282608785</v>
      </c>
      <c r="H138" s="724">
        <f>+J97*G138+E138</f>
        <v>602421.62180520268</v>
      </c>
      <c r="I138" s="731">
        <f>+J98*G138+E138</f>
        <v>602421.62180520268</v>
      </c>
      <c r="J138" s="727">
        <f t="shared" si="10"/>
        <v>0</v>
      </c>
      <c r="K138" s="727"/>
      <c r="L138" s="732"/>
      <c r="M138" s="727">
        <f t="shared" si="11"/>
        <v>0</v>
      </c>
      <c r="N138" s="732"/>
      <c r="O138" s="727">
        <f t="shared" si="12"/>
        <v>0</v>
      </c>
      <c r="P138" s="727">
        <f t="shared" si="13"/>
        <v>0</v>
      </c>
      <c r="Q138" s="675"/>
    </row>
    <row r="139" spans="2:17">
      <c r="B139" s="332"/>
      <c r="C139" s="723">
        <f>IF(D96="","-",+C138+1)</f>
        <v>2045</v>
      </c>
      <c r="D139" s="674">
        <f t="shared" si="14"/>
        <v>2847784.3418478351</v>
      </c>
      <c r="E139" s="730">
        <f t="shared" si="15"/>
        <v>299766.77282608696</v>
      </c>
      <c r="F139" s="730">
        <f t="shared" si="8"/>
        <v>2548017.5690217484</v>
      </c>
      <c r="G139" s="674">
        <f t="shared" si="9"/>
        <v>2697900.9554347917</v>
      </c>
      <c r="H139" s="724">
        <f>+J97*G139+E139</f>
        <v>572156.13690729125</v>
      </c>
      <c r="I139" s="731">
        <f>+J98*G139+E139</f>
        <v>572156.13690729125</v>
      </c>
      <c r="J139" s="727">
        <f t="shared" si="10"/>
        <v>0</v>
      </c>
      <c r="K139" s="727"/>
      <c r="L139" s="732"/>
      <c r="M139" s="727">
        <f t="shared" si="11"/>
        <v>0</v>
      </c>
      <c r="N139" s="732"/>
      <c r="O139" s="727">
        <f t="shared" si="12"/>
        <v>0</v>
      </c>
      <c r="P139" s="727">
        <f t="shared" si="13"/>
        <v>0</v>
      </c>
      <c r="Q139" s="675"/>
    </row>
    <row r="140" spans="2:17">
      <c r="B140" s="332"/>
      <c r="C140" s="723">
        <f>IF(D96="","-",+C139+1)</f>
        <v>2046</v>
      </c>
      <c r="D140" s="674">
        <f t="shared" si="14"/>
        <v>2548017.5690217484</v>
      </c>
      <c r="E140" s="730">
        <f t="shared" si="15"/>
        <v>299766.77282608696</v>
      </c>
      <c r="F140" s="730">
        <f t="shared" si="8"/>
        <v>2248250.7961956616</v>
      </c>
      <c r="G140" s="674">
        <f t="shared" si="9"/>
        <v>2398134.182608705</v>
      </c>
      <c r="H140" s="724">
        <f>+J97*G140+E140</f>
        <v>541890.65200937982</v>
      </c>
      <c r="I140" s="731">
        <f>+J98*G140+E140</f>
        <v>541890.65200937982</v>
      </c>
      <c r="J140" s="727">
        <f t="shared" si="10"/>
        <v>0</v>
      </c>
      <c r="K140" s="727"/>
      <c r="L140" s="732"/>
      <c r="M140" s="727">
        <f t="shared" si="11"/>
        <v>0</v>
      </c>
      <c r="N140" s="732"/>
      <c r="O140" s="727">
        <f t="shared" si="12"/>
        <v>0</v>
      </c>
      <c r="P140" s="727">
        <f t="shared" si="13"/>
        <v>0</v>
      </c>
      <c r="Q140" s="675"/>
    </row>
    <row r="141" spans="2:17">
      <c r="B141" s="332"/>
      <c r="C141" s="723">
        <f>IF(D96="","-",+C140+1)</f>
        <v>2047</v>
      </c>
      <c r="D141" s="674">
        <f t="shared" si="14"/>
        <v>2248250.7961956616</v>
      </c>
      <c r="E141" s="730">
        <f t="shared" si="15"/>
        <v>299766.77282608696</v>
      </c>
      <c r="F141" s="730">
        <f t="shared" si="8"/>
        <v>1948484.0233695747</v>
      </c>
      <c r="G141" s="674">
        <f t="shared" si="9"/>
        <v>2098367.4097826183</v>
      </c>
      <c r="H141" s="724">
        <f>+J97*G141+E141</f>
        <v>511625.16711146833</v>
      </c>
      <c r="I141" s="731">
        <f>+J98*G141+E141</f>
        <v>511625.16711146833</v>
      </c>
      <c r="J141" s="727">
        <f t="shared" si="10"/>
        <v>0</v>
      </c>
      <c r="K141" s="727"/>
      <c r="L141" s="732"/>
      <c r="M141" s="727">
        <f t="shared" si="11"/>
        <v>0</v>
      </c>
      <c r="N141" s="732"/>
      <c r="O141" s="727">
        <f t="shared" si="12"/>
        <v>0</v>
      </c>
      <c r="P141" s="727">
        <f t="shared" si="13"/>
        <v>0</v>
      </c>
      <c r="Q141" s="675"/>
    </row>
    <row r="142" spans="2:17">
      <c r="B142" s="332"/>
      <c r="C142" s="723">
        <f>IF(D96="","-",+C141+1)</f>
        <v>2048</v>
      </c>
      <c r="D142" s="674">
        <f t="shared" si="14"/>
        <v>1948484.0233695747</v>
      </c>
      <c r="E142" s="730">
        <f t="shared" si="15"/>
        <v>299766.77282608696</v>
      </c>
      <c r="F142" s="730">
        <f t="shared" si="8"/>
        <v>1648717.2505434877</v>
      </c>
      <c r="G142" s="674">
        <f t="shared" si="9"/>
        <v>1798600.6369565311</v>
      </c>
      <c r="H142" s="724">
        <f>+J97*G142+E142</f>
        <v>481359.68221355684</v>
      </c>
      <c r="I142" s="731">
        <f>+J98*G142+E142</f>
        <v>481359.68221355684</v>
      </c>
      <c r="J142" s="727">
        <f t="shared" si="10"/>
        <v>0</v>
      </c>
      <c r="K142" s="727"/>
      <c r="L142" s="732"/>
      <c r="M142" s="727">
        <f t="shared" si="11"/>
        <v>0</v>
      </c>
      <c r="N142" s="732"/>
      <c r="O142" s="727">
        <f t="shared" si="12"/>
        <v>0</v>
      </c>
      <c r="P142" s="727">
        <f t="shared" si="13"/>
        <v>0</v>
      </c>
      <c r="Q142" s="675"/>
    </row>
    <row r="143" spans="2:17">
      <c r="B143" s="332"/>
      <c r="C143" s="723">
        <f>IF(D96="","-",+C142+1)</f>
        <v>2049</v>
      </c>
      <c r="D143" s="674">
        <f t="shared" si="14"/>
        <v>1648717.2505434877</v>
      </c>
      <c r="E143" s="730">
        <f t="shared" si="15"/>
        <v>299766.77282608696</v>
      </c>
      <c r="F143" s="730">
        <f t="shared" si="8"/>
        <v>1348950.4777174008</v>
      </c>
      <c r="G143" s="674">
        <f t="shared" si="9"/>
        <v>1498833.8641304444</v>
      </c>
      <c r="H143" s="724">
        <f>+J97*G143+E143</f>
        <v>451094.19731564535</v>
      </c>
      <c r="I143" s="731">
        <f>+J98*G143+E143</f>
        <v>451094.19731564535</v>
      </c>
      <c r="J143" s="727">
        <f t="shared" si="10"/>
        <v>0</v>
      </c>
      <c r="K143" s="727"/>
      <c r="L143" s="732"/>
      <c r="M143" s="727">
        <f t="shared" si="11"/>
        <v>0</v>
      </c>
      <c r="N143" s="732"/>
      <c r="O143" s="727">
        <f t="shared" si="12"/>
        <v>0</v>
      </c>
      <c r="P143" s="727">
        <f t="shared" si="13"/>
        <v>0</v>
      </c>
      <c r="Q143" s="675"/>
    </row>
    <row r="144" spans="2:17">
      <c r="B144" s="332"/>
      <c r="C144" s="723">
        <f>IF(D96="","-",+C143+1)</f>
        <v>2050</v>
      </c>
      <c r="D144" s="674">
        <f t="shared" si="14"/>
        <v>1348950.4777174008</v>
      </c>
      <c r="E144" s="730">
        <f t="shared" si="15"/>
        <v>299766.77282608696</v>
      </c>
      <c r="F144" s="730">
        <f t="shared" si="8"/>
        <v>1049183.7048913138</v>
      </c>
      <c r="G144" s="674">
        <f t="shared" si="9"/>
        <v>1199067.0913043572</v>
      </c>
      <c r="H144" s="724">
        <f>+J97*G144+E144</f>
        <v>420828.71241773386</v>
      </c>
      <c r="I144" s="731">
        <f>+J98*G144+E144</f>
        <v>420828.71241773386</v>
      </c>
      <c r="J144" s="727">
        <f t="shared" si="10"/>
        <v>0</v>
      </c>
      <c r="K144" s="727"/>
      <c r="L144" s="732"/>
      <c r="M144" s="727">
        <f t="shared" si="11"/>
        <v>0</v>
      </c>
      <c r="N144" s="732"/>
      <c r="O144" s="727">
        <f t="shared" si="12"/>
        <v>0</v>
      </c>
      <c r="P144" s="727">
        <f t="shared" si="13"/>
        <v>0</v>
      </c>
      <c r="Q144" s="675"/>
    </row>
    <row r="145" spans="2:17">
      <c r="B145" s="332"/>
      <c r="C145" s="723">
        <f>IF(D96="","-",+C144+1)</f>
        <v>2051</v>
      </c>
      <c r="D145" s="674">
        <f t="shared" si="14"/>
        <v>1049183.7048913138</v>
      </c>
      <c r="E145" s="730">
        <f t="shared" si="15"/>
        <v>299766.77282608696</v>
      </c>
      <c r="F145" s="730">
        <f t="shared" si="8"/>
        <v>749416.93206522684</v>
      </c>
      <c r="G145" s="674">
        <f t="shared" si="9"/>
        <v>899300.31847827032</v>
      </c>
      <c r="H145" s="724">
        <f>+J97*G145+E145</f>
        <v>390563.22751982237</v>
      </c>
      <c r="I145" s="731">
        <f>+J98*G145+E145</f>
        <v>390563.22751982237</v>
      </c>
      <c r="J145" s="727">
        <f t="shared" si="10"/>
        <v>0</v>
      </c>
      <c r="K145" s="727"/>
      <c r="L145" s="732"/>
      <c r="M145" s="727">
        <f t="shared" si="11"/>
        <v>0</v>
      </c>
      <c r="N145" s="732"/>
      <c r="O145" s="727">
        <f t="shared" si="12"/>
        <v>0</v>
      </c>
      <c r="P145" s="727">
        <f t="shared" si="13"/>
        <v>0</v>
      </c>
      <c r="Q145" s="675"/>
    </row>
    <row r="146" spans="2:17">
      <c r="B146" s="332"/>
      <c r="C146" s="723">
        <f>IF(D96="","-",+C145+1)</f>
        <v>2052</v>
      </c>
      <c r="D146" s="674">
        <f t="shared" si="14"/>
        <v>749416.93206522684</v>
      </c>
      <c r="E146" s="730">
        <f t="shared" si="15"/>
        <v>299766.77282608696</v>
      </c>
      <c r="F146" s="730">
        <f t="shared" si="8"/>
        <v>449650.15923913987</v>
      </c>
      <c r="G146" s="674">
        <f t="shared" si="9"/>
        <v>599533.54565218335</v>
      </c>
      <c r="H146" s="724">
        <f>+J97*G146+E146</f>
        <v>360297.74262191087</v>
      </c>
      <c r="I146" s="731">
        <f>+J98*G146+E146</f>
        <v>360297.74262191087</v>
      </c>
      <c r="J146" s="727">
        <f t="shared" si="10"/>
        <v>0</v>
      </c>
      <c r="K146" s="727"/>
      <c r="L146" s="732"/>
      <c r="M146" s="727">
        <f t="shared" si="11"/>
        <v>0</v>
      </c>
      <c r="N146" s="732"/>
      <c r="O146" s="727">
        <f t="shared" si="12"/>
        <v>0</v>
      </c>
      <c r="P146" s="727">
        <f t="shared" si="13"/>
        <v>0</v>
      </c>
      <c r="Q146" s="675"/>
    </row>
    <row r="147" spans="2:17">
      <c r="B147" s="332"/>
      <c r="C147" s="723">
        <f>IF(D96="","-",+C146+1)</f>
        <v>2053</v>
      </c>
      <c r="D147" s="674">
        <f t="shared" si="14"/>
        <v>449650.15923913987</v>
      </c>
      <c r="E147" s="730">
        <f t="shared" si="15"/>
        <v>299766.77282608696</v>
      </c>
      <c r="F147" s="730">
        <f t="shared" si="8"/>
        <v>149883.38641305291</v>
      </c>
      <c r="G147" s="674">
        <f t="shared" si="9"/>
        <v>299766.77282609639</v>
      </c>
      <c r="H147" s="724">
        <f>+J97*G147+E147</f>
        <v>330032.25772399938</v>
      </c>
      <c r="I147" s="731">
        <f>+J98*G147+E147</f>
        <v>330032.25772399938</v>
      </c>
      <c r="J147" s="727">
        <f t="shared" si="10"/>
        <v>0</v>
      </c>
      <c r="K147" s="727"/>
      <c r="L147" s="732"/>
      <c r="M147" s="727">
        <f t="shared" si="11"/>
        <v>0</v>
      </c>
      <c r="N147" s="732"/>
      <c r="O147" s="727">
        <f t="shared" si="12"/>
        <v>0</v>
      </c>
      <c r="P147" s="727">
        <f t="shared" si="13"/>
        <v>0</v>
      </c>
      <c r="Q147" s="675"/>
    </row>
    <row r="148" spans="2:17">
      <c r="B148" s="332"/>
      <c r="C148" s="723">
        <f>IF(D96="","-",+C147+1)</f>
        <v>2054</v>
      </c>
      <c r="D148" s="674">
        <f t="shared" si="14"/>
        <v>149883.38641305291</v>
      </c>
      <c r="E148" s="730">
        <f t="shared" si="15"/>
        <v>149883.38641305291</v>
      </c>
      <c r="F148" s="730">
        <f t="shared" si="8"/>
        <v>0</v>
      </c>
      <c r="G148" s="674">
        <f t="shared" si="9"/>
        <v>74941.693206526455</v>
      </c>
      <c r="H148" s="724">
        <f>+J97*G148+E148</f>
        <v>157449.75763753126</v>
      </c>
      <c r="I148" s="731">
        <f>+J98*G148+E148</f>
        <v>157449.75763753126</v>
      </c>
      <c r="J148" s="727">
        <f t="shared" si="10"/>
        <v>0</v>
      </c>
      <c r="K148" s="727"/>
      <c r="L148" s="732"/>
      <c r="M148" s="727">
        <f t="shared" si="11"/>
        <v>0</v>
      </c>
      <c r="N148" s="732"/>
      <c r="O148" s="727">
        <f t="shared" si="12"/>
        <v>0</v>
      </c>
      <c r="P148" s="727">
        <f t="shared" si="13"/>
        <v>0</v>
      </c>
      <c r="Q148" s="675"/>
    </row>
    <row r="149" spans="2:17">
      <c r="B149" s="332"/>
      <c r="C149" s="723">
        <f>IF(D96="","-",+C148+1)</f>
        <v>2055</v>
      </c>
      <c r="D149" s="674">
        <f t="shared" si="14"/>
        <v>0</v>
      </c>
      <c r="E149" s="730">
        <f t="shared" si="15"/>
        <v>0</v>
      </c>
      <c r="F149" s="730">
        <f t="shared" si="8"/>
        <v>0</v>
      </c>
      <c r="G149" s="674">
        <f t="shared" si="9"/>
        <v>0</v>
      </c>
      <c r="H149" s="724">
        <f>+J97*G149+E149</f>
        <v>0</v>
      </c>
      <c r="I149" s="731">
        <f>+J98*G149+E149</f>
        <v>0</v>
      </c>
      <c r="J149" s="727">
        <f t="shared" si="10"/>
        <v>0</v>
      </c>
      <c r="K149" s="727"/>
      <c r="L149" s="732"/>
      <c r="M149" s="727">
        <f t="shared" si="11"/>
        <v>0</v>
      </c>
      <c r="N149" s="732"/>
      <c r="O149" s="727">
        <f t="shared" si="12"/>
        <v>0</v>
      </c>
      <c r="P149" s="727">
        <f t="shared" si="13"/>
        <v>0</v>
      </c>
      <c r="Q149" s="675"/>
    </row>
    <row r="150" spans="2:17">
      <c r="B150" s="332"/>
      <c r="C150" s="723">
        <f>IF(D96="","-",+C149+1)</f>
        <v>2056</v>
      </c>
      <c r="D150" s="674">
        <f t="shared" si="14"/>
        <v>0</v>
      </c>
      <c r="E150" s="730">
        <f t="shared" si="15"/>
        <v>0</v>
      </c>
      <c r="F150" s="730">
        <f t="shared" si="8"/>
        <v>0</v>
      </c>
      <c r="G150" s="674">
        <f t="shared" si="9"/>
        <v>0</v>
      </c>
      <c r="H150" s="724">
        <f>+J97*G150+E150</f>
        <v>0</v>
      </c>
      <c r="I150" s="731">
        <f>+J98*G150+E150</f>
        <v>0</v>
      </c>
      <c r="J150" s="727">
        <f t="shared" si="10"/>
        <v>0</v>
      </c>
      <c r="K150" s="727"/>
      <c r="L150" s="732"/>
      <c r="M150" s="727">
        <f t="shared" si="11"/>
        <v>0</v>
      </c>
      <c r="N150" s="732"/>
      <c r="O150" s="727">
        <f t="shared" si="12"/>
        <v>0</v>
      </c>
      <c r="P150" s="727">
        <f t="shared" si="13"/>
        <v>0</v>
      </c>
      <c r="Q150" s="675"/>
    </row>
    <row r="151" spans="2:17">
      <c r="B151" s="332"/>
      <c r="C151" s="723">
        <f>IF(D96="","-",+C150+1)</f>
        <v>2057</v>
      </c>
      <c r="D151" s="674">
        <f t="shared" si="14"/>
        <v>0</v>
      </c>
      <c r="E151" s="730">
        <f t="shared" si="15"/>
        <v>0</v>
      </c>
      <c r="F151" s="730">
        <f t="shared" si="8"/>
        <v>0</v>
      </c>
      <c r="G151" s="674">
        <f t="shared" si="9"/>
        <v>0</v>
      </c>
      <c r="H151" s="724">
        <f>+J97*G151+E151</f>
        <v>0</v>
      </c>
      <c r="I151" s="731">
        <f>+J98*G151+E151</f>
        <v>0</v>
      </c>
      <c r="J151" s="727">
        <f t="shared" si="10"/>
        <v>0</v>
      </c>
      <c r="K151" s="727"/>
      <c r="L151" s="732"/>
      <c r="M151" s="727">
        <f t="shared" si="11"/>
        <v>0</v>
      </c>
      <c r="N151" s="732"/>
      <c r="O151" s="727">
        <f t="shared" si="12"/>
        <v>0</v>
      </c>
      <c r="P151" s="727">
        <f t="shared" si="13"/>
        <v>0</v>
      </c>
      <c r="Q151" s="675"/>
    </row>
    <row r="152" spans="2:17">
      <c r="B152" s="332"/>
      <c r="C152" s="723">
        <f>IF(D96="","-",+C151+1)</f>
        <v>2058</v>
      </c>
      <c r="D152" s="674">
        <f t="shared" si="14"/>
        <v>0</v>
      </c>
      <c r="E152" s="730">
        <f t="shared" si="15"/>
        <v>0</v>
      </c>
      <c r="F152" s="730">
        <f t="shared" si="8"/>
        <v>0</v>
      </c>
      <c r="G152" s="674">
        <f t="shared" si="9"/>
        <v>0</v>
      </c>
      <c r="H152" s="724">
        <f>+J97*G152+E152</f>
        <v>0</v>
      </c>
      <c r="I152" s="731">
        <f>+J98*G152+E152</f>
        <v>0</v>
      </c>
      <c r="J152" s="727">
        <f t="shared" si="10"/>
        <v>0</v>
      </c>
      <c r="K152" s="727"/>
      <c r="L152" s="732"/>
      <c r="M152" s="727">
        <f t="shared" si="11"/>
        <v>0</v>
      </c>
      <c r="N152" s="732"/>
      <c r="O152" s="727">
        <f t="shared" si="12"/>
        <v>0</v>
      </c>
      <c r="P152" s="727">
        <f t="shared" si="13"/>
        <v>0</v>
      </c>
      <c r="Q152" s="675"/>
    </row>
    <row r="153" spans="2:17">
      <c r="B153" s="332"/>
      <c r="C153" s="723">
        <f>IF(D96="","-",+C152+1)</f>
        <v>2059</v>
      </c>
      <c r="D153" s="674">
        <f t="shared" si="14"/>
        <v>0</v>
      </c>
      <c r="E153" s="730">
        <f t="shared" si="15"/>
        <v>0</v>
      </c>
      <c r="F153" s="730">
        <f t="shared" si="8"/>
        <v>0</v>
      </c>
      <c r="G153" s="674">
        <f t="shared" si="9"/>
        <v>0</v>
      </c>
      <c r="H153" s="724">
        <f>+J97*G153+E153</f>
        <v>0</v>
      </c>
      <c r="I153" s="731">
        <f>+J98*G153+E153</f>
        <v>0</v>
      </c>
      <c r="J153" s="727">
        <f t="shared" si="10"/>
        <v>0</v>
      </c>
      <c r="K153" s="727"/>
      <c r="L153" s="732"/>
      <c r="M153" s="727">
        <f t="shared" si="11"/>
        <v>0</v>
      </c>
      <c r="N153" s="732"/>
      <c r="O153" s="727">
        <f t="shared" si="12"/>
        <v>0</v>
      </c>
      <c r="P153" s="727">
        <f t="shared" si="13"/>
        <v>0</v>
      </c>
      <c r="Q153" s="675"/>
    </row>
    <row r="154" spans="2:17">
      <c r="B154" s="332"/>
      <c r="C154" s="723">
        <f>IF(D96="","-",+C153+1)</f>
        <v>2060</v>
      </c>
      <c r="D154" s="674">
        <f t="shared" si="14"/>
        <v>0</v>
      </c>
      <c r="E154" s="730">
        <f t="shared" si="15"/>
        <v>0</v>
      </c>
      <c r="F154" s="730">
        <f t="shared" si="8"/>
        <v>0</v>
      </c>
      <c r="G154" s="674">
        <f t="shared" si="9"/>
        <v>0</v>
      </c>
      <c r="H154" s="724">
        <f>+J97*G154+E154</f>
        <v>0</v>
      </c>
      <c r="I154" s="731">
        <f>+J98*G154+E154</f>
        <v>0</v>
      </c>
      <c r="J154" s="727">
        <f t="shared" si="10"/>
        <v>0</v>
      </c>
      <c r="K154" s="727"/>
      <c r="L154" s="732"/>
      <c r="M154" s="727">
        <f t="shared" si="11"/>
        <v>0</v>
      </c>
      <c r="N154" s="732"/>
      <c r="O154" s="727">
        <f t="shared" si="12"/>
        <v>0</v>
      </c>
      <c r="P154" s="727">
        <f t="shared" si="13"/>
        <v>0</v>
      </c>
      <c r="Q154" s="675"/>
    </row>
    <row r="155" spans="2:17">
      <c r="B155" s="332"/>
      <c r="C155" s="723">
        <f>IF(D96="","-",+C154+1)</f>
        <v>2061</v>
      </c>
      <c r="D155" s="674">
        <f t="shared" si="14"/>
        <v>0</v>
      </c>
      <c r="E155" s="730">
        <f t="shared" si="15"/>
        <v>0</v>
      </c>
      <c r="F155" s="730">
        <f t="shared" si="8"/>
        <v>0</v>
      </c>
      <c r="G155" s="674">
        <f t="shared" si="9"/>
        <v>0</v>
      </c>
      <c r="H155" s="724">
        <f>+J97*G155+E155</f>
        <v>0</v>
      </c>
      <c r="I155" s="731">
        <f>+J98*G155+E155</f>
        <v>0</v>
      </c>
      <c r="J155" s="727">
        <f t="shared" si="10"/>
        <v>0</v>
      </c>
      <c r="K155" s="727"/>
      <c r="L155" s="732"/>
      <c r="M155" s="727">
        <f t="shared" si="11"/>
        <v>0</v>
      </c>
      <c r="N155" s="732"/>
      <c r="O155" s="727">
        <f t="shared" si="12"/>
        <v>0</v>
      </c>
      <c r="P155" s="727">
        <f t="shared" si="13"/>
        <v>0</v>
      </c>
      <c r="Q155" s="675"/>
    </row>
    <row r="156" spans="2:17">
      <c r="B156" s="332"/>
      <c r="C156" s="723">
        <f>IF(D96="","-",+C155+1)</f>
        <v>2062</v>
      </c>
      <c r="D156" s="674">
        <f t="shared" si="14"/>
        <v>0</v>
      </c>
      <c r="E156" s="730">
        <f t="shared" si="15"/>
        <v>0</v>
      </c>
      <c r="F156" s="730">
        <f t="shared" si="8"/>
        <v>0</v>
      </c>
      <c r="G156" s="674">
        <f t="shared" si="9"/>
        <v>0</v>
      </c>
      <c r="H156" s="724">
        <f>+J97*G156+E156</f>
        <v>0</v>
      </c>
      <c r="I156" s="731">
        <f>+J98*G156+E156</f>
        <v>0</v>
      </c>
      <c r="J156" s="727">
        <f t="shared" si="10"/>
        <v>0</v>
      </c>
      <c r="K156" s="727"/>
      <c r="L156" s="732"/>
      <c r="M156" s="727">
        <f t="shared" si="11"/>
        <v>0</v>
      </c>
      <c r="N156" s="732"/>
      <c r="O156" s="727">
        <f t="shared" si="12"/>
        <v>0</v>
      </c>
      <c r="P156" s="727">
        <f t="shared" si="13"/>
        <v>0</v>
      </c>
      <c r="Q156" s="675"/>
    </row>
    <row r="157" spans="2:17">
      <c r="B157" s="332"/>
      <c r="C157" s="723">
        <f>IF(D96="","-",+C156+1)</f>
        <v>2063</v>
      </c>
      <c r="D157" s="674">
        <f t="shared" si="14"/>
        <v>0</v>
      </c>
      <c r="E157" s="730">
        <f t="shared" si="15"/>
        <v>0</v>
      </c>
      <c r="F157" s="730">
        <f t="shared" si="8"/>
        <v>0</v>
      </c>
      <c r="G157" s="674">
        <f t="shared" si="9"/>
        <v>0</v>
      </c>
      <c r="H157" s="724">
        <f>+J97*G157+E157</f>
        <v>0</v>
      </c>
      <c r="I157" s="731">
        <f>+J98*G157+E157</f>
        <v>0</v>
      </c>
      <c r="J157" s="727">
        <f t="shared" si="10"/>
        <v>0</v>
      </c>
      <c r="K157" s="727"/>
      <c r="L157" s="732"/>
      <c r="M157" s="727">
        <f t="shared" si="11"/>
        <v>0</v>
      </c>
      <c r="N157" s="732"/>
      <c r="O157" s="727">
        <f t="shared" si="12"/>
        <v>0</v>
      </c>
      <c r="P157" s="727">
        <f t="shared" si="13"/>
        <v>0</v>
      </c>
      <c r="Q157" s="675"/>
    </row>
    <row r="158" spans="2:17">
      <c r="B158" s="332"/>
      <c r="C158" s="723">
        <f>IF(D96="","-",+C157+1)</f>
        <v>2064</v>
      </c>
      <c r="D158" s="674">
        <f t="shared" si="14"/>
        <v>0</v>
      </c>
      <c r="E158" s="730">
        <f t="shared" si="15"/>
        <v>0</v>
      </c>
      <c r="F158" s="730">
        <f t="shared" si="8"/>
        <v>0</v>
      </c>
      <c r="G158" s="674">
        <f t="shared" si="9"/>
        <v>0</v>
      </c>
      <c r="H158" s="724">
        <f>+J97*G158+E158</f>
        <v>0</v>
      </c>
      <c r="I158" s="731">
        <f>+J98*G158+E158</f>
        <v>0</v>
      </c>
      <c r="J158" s="727">
        <f t="shared" si="10"/>
        <v>0</v>
      </c>
      <c r="K158" s="727"/>
      <c r="L158" s="732"/>
      <c r="M158" s="727">
        <f t="shared" si="11"/>
        <v>0</v>
      </c>
      <c r="N158" s="732"/>
      <c r="O158" s="727">
        <f t="shared" si="12"/>
        <v>0</v>
      </c>
      <c r="P158" s="727">
        <f t="shared" si="13"/>
        <v>0</v>
      </c>
      <c r="Q158" s="675"/>
    </row>
    <row r="159" spans="2:17">
      <c r="B159" s="332"/>
      <c r="C159" s="723">
        <f>IF(D96="","-",+C158+1)</f>
        <v>2065</v>
      </c>
      <c r="D159" s="674">
        <f t="shared" si="14"/>
        <v>0</v>
      </c>
      <c r="E159" s="730">
        <f t="shared" si="15"/>
        <v>0</v>
      </c>
      <c r="F159" s="730">
        <f t="shared" si="8"/>
        <v>0</v>
      </c>
      <c r="G159" s="674">
        <f t="shared" si="9"/>
        <v>0</v>
      </c>
      <c r="H159" s="724">
        <f>+J97*G159+E159</f>
        <v>0</v>
      </c>
      <c r="I159" s="731">
        <f>+J98*G159+E159</f>
        <v>0</v>
      </c>
      <c r="J159" s="727">
        <f t="shared" si="10"/>
        <v>0</v>
      </c>
      <c r="K159" s="727"/>
      <c r="L159" s="732"/>
      <c r="M159" s="727">
        <f t="shared" si="11"/>
        <v>0</v>
      </c>
      <c r="N159" s="732"/>
      <c r="O159" s="727">
        <f t="shared" si="12"/>
        <v>0</v>
      </c>
      <c r="P159" s="727">
        <f t="shared" si="13"/>
        <v>0</v>
      </c>
      <c r="Q159" s="675"/>
    </row>
    <row r="160" spans="2:17">
      <c r="B160" s="332"/>
      <c r="C160" s="723">
        <f>IF(D96="","-",+C159+1)</f>
        <v>2066</v>
      </c>
      <c r="D160" s="674">
        <f t="shared" si="14"/>
        <v>0</v>
      </c>
      <c r="E160" s="730">
        <f t="shared" si="15"/>
        <v>0</v>
      </c>
      <c r="F160" s="730">
        <f t="shared" si="8"/>
        <v>0</v>
      </c>
      <c r="G160" s="674">
        <f t="shared" si="9"/>
        <v>0</v>
      </c>
      <c r="H160" s="724">
        <f>+J97*G160+E160</f>
        <v>0</v>
      </c>
      <c r="I160" s="731">
        <f>+J98*G160+E160</f>
        <v>0</v>
      </c>
      <c r="J160" s="727">
        <f t="shared" si="10"/>
        <v>0</v>
      </c>
      <c r="K160" s="727"/>
      <c r="L160" s="732"/>
      <c r="M160" s="727">
        <f t="shared" si="11"/>
        <v>0</v>
      </c>
      <c r="N160" s="732"/>
      <c r="O160" s="727">
        <f t="shared" si="12"/>
        <v>0</v>
      </c>
      <c r="P160" s="727">
        <f t="shared" si="13"/>
        <v>0</v>
      </c>
      <c r="Q160" s="675"/>
    </row>
    <row r="161" spans="1:17" ht="13.5" thickBot="1">
      <c r="B161" s="332"/>
      <c r="C161" s="735">
        <f>IF(D96="","-",+C160+1)</f>
        <v>2067</v>
      </c>
      <c r="D161" s="736">
        <f t="shared" si="14"/>
        <v>0</v>
      </c>
      <c r="E161" s="737">
        <f t="shared" si="15"/>
        <v>0</v>
      </c>
      <c r="F161" s="737">
        <f t="shared" si="8"/>
        <v>0</v>
      </c>
      <c r="G161" s="736">
        <f t="shared" si="9"/>
        <v>0</v>
      </c>
      <c r="H161" s="738">
        <f>+J97*G161+E161</f>
        <v>0</v>
      </c>
      <c r="I161" s="738">
        <f>+J98*G161+E161</f>
        <v>0</v>
      </c>
      <c r="J161" s="739">
        <f t="shared" si="10"/>
        <v>0</v>
      </c>
      <c r="K161" s="727"/>
      <c r="L161" s="740"/>
      <c r="M161" s="739">
        <f t="shared" si="11"/>
        <v>0</v>
      </c>
      <c r="N161" s="740"/>
      <c r="O161" s="739">
        <f t="shared" si="12"/>
        <v>0</v>
      </c>
      <c r="P161" s="739">
        <f t="shared" si="13"/>
        <v>0</v>
      </c>
      <c r="Q161" s="675"/>
    </row>
    <row r="162" spans="1:17">
      <c r="B162" s="332"/>
      <c r="C162" s="674" t="s">
        <v>288</v>
      </c>
      <c r="D162" s="670"/>
      <c r="E162" s="670">
        <f>SUM(E102:E161)</f>
        <v>13789271.550000001</v>
      </c>
      <c r="F162" s="670"/>
      <c r="G162" s="670"/>
      <c r="H162" s="670">
        <f>SUM(H102:H161)</f>
        <v>46506260.724642396</v>
      </c>
      <c r="I162" s="670">
        <f>SUM(I102:I161)</f>
        <v>46506260.724642396</v>
      </c>
      <c r="J162" s="670">
        <f>SUM(J102:J161)</f>
        <v>0</v>
      </c>
      <c r="K162" s="670"/>
      <c r="L162" s="670"/>
      <c r="M162" s="670"/>
      <c r="N162" s="670"/>
      <c r="O162" s="670"/>
      <c r="Q162" s="670"/>
    </row>
    <row r="163" spans="1:17">
      <c r="B163" s="332"/>
      <c r="D163" s="564"/>
      <c r="E163" s="541"/>
      <c r="F163" s="541"/>
      <c r="G163" s="541"/>
      <c r="H163" s="541"/>
      <c r="I163" s="647"/>
      <c r="J163" s="647"/>
      <c r="K163" s="670"/>
      <c r="L163" s="647"/>
      <c r="M163" s="647"/>
      <c r="N163" s="647"/>
      <c r="O163" s="647"/>
      <c r="Q163" s="670"/>
    </row>
    <row r="164" spans="1:17">
      <c r="B164" s="332"/>
      <c r="C164" s="541" t="s">
        <v>601</v>
      </c>
      <c r="D164" s="564"/>
      <c r="E164" s="541"/>
      <c r="F164" s="541"/>
      <c r="G164" s="541"/>
      <c r="H164" s="541"/>
      <c r="I164" s="647"/>
      <c r="J164" s="647"/>
      <c r="K164" s="670"/>
      <c r="L164" s="647"/>
      <c r="M164" s="647"/>
      <c r="N164" s="647"/>
      <c r="O164" s="647"/>
      <c r="Q164" s="670"/>
    </row>
    <row r="165" spans="1:17">
      <c r="B165" s="332"/>
      <c r="D165" s="564"/>
      <c r="E165" s="541"/>
      <c r="F165" s="541"/>
      <c r="G165" s="541"/>
      <c r="H165" s="541"/>
      <c r="I165" s="647"/>
      <c r="J165" s="647"/>
      <c r="K165" s="670"/>
      <c r="L165" s="647"/>
      <c r="M165" s="647"/>
      <c r="N165" s="647"/>
      <c r="O165" s="647"/>
      <c r="Q165" s="670"/>
    </row>
    <row r="166" spans="1:17">
      <c r="B166" s="332"/>
      <c r="C166" s="577" t="s">
        <v>602</v>
      </c>
      <c r="D166" s="674"/>
      <c r="E166" s="674"/>
      <c r="F166" s="674"/>
      <c r="G166" s="674"/>
      <c r="H166" s="670"/>
      <c r="I166" s="670"/>
      <c r="J166" s="675"/>
      <c r="K166" s="675"/>
      <c r="L166" s="675"/>
      <c r="M166" s="675"/>
      <c r="N166" s="675"/>
      <c r="O166" s="675"/>
      <c r="Q166" s="675"/>
    </row>
    <row r="167" spans="1:17">
      <c r="B167" s="332"/>
      <c r="C167" s="577" t="s">
        <v>476</v>
      </c>
      <c r="D167" s="674"/>
      <c r="E167" s="674"/>
      <c r="F167" s="674"/>
      <c r="G167" s="674"/>
      <c r="H167" s="670"/>
      <c r="I167" s="670"/>
      <c r="J167" s="675"/>
      <c r="K167" s="675"/>
      <c r="L167" s="675"/>
      <c r="M167" s="675"/>
      <c r="N167" s="675"/>
      <c r="O167" s="675"/>
      <c r="Q167" s="675"/>
    </row>
    <row r="168" spans="1:17">
      <c r="B168" s="332"/>
      <c r="C168" s="577" t="s">
        <v>289</v>
      </c>
      <c r="D168" s="674"/>
      <c r="E168" s="674"/>
      <c r="F168" s="674"/>
      <c r="G168" s="674"/>
      <c r="H168" s="670"/>
      <c r="I168" s="670"/>
      <c r="J168" s="675"/>
      <c r="K168" s="675"/>
      <c r="L168" s="675"/>
      <c r="M168" s="675"/>
      <c r="N168" s="675"/>
      <c r="O168" s="675"/>
      <c r="Q168" s="675"/>
    </row>
    <row r="169" spans="1:17" ht="20.25">
      <c r="A169" s="676" t="s">
        <v>770</v>
      </c>
      <c r="B169" s="541"/>
      <c r="C169" s="656"/>
      <c r="D169" s="564"/>
      <c r="E169" s="541"/>
      <c r="F169" s="646"/>
      <c r="G169" s="646"/>
      <c r="H169" s="541"/>
      <c r="I169" s="647"/>
      <c r="L169" s="677"/>
      <c r="M169" s="677"/>
      <c r="N169" s="677"/>
      <c r="O169" s="592" t="str">
        <f>"Page "&amp;SUM(Q$3:Q169)&amp;" of "</f>
        <v xml:space="preserve">Page 3 of </v>
      </c>
      <c r="P169" s="593">
        <f>COUNT(Q$8:Q$58123)</f>
        <v>16</v>
      </c>
      <c r="Q169" s="761">
        <v>1</v>
      </c>
    </row>
    <row r="170" spans="1:17">
      <c r="B170" s="541"/>
      <c r="C170" s="541"/>
      <c r="D170" s="564"/>
      <c r="E170" s="541"/>
      <c r="F170" s="541"/>
      <c r="G170" s="541"/>
      <c r="H170" s="541"/>
      <c r="I170" s="647"/>
      <c r="J170" s="541"/>
      <c r="K170" s="589"/>
      <c r="Q170" s="589"/>
    </row>
    <row r="171" spans="1:17" ht="18">
      <c r="B171" s="596" t="s">
        <v>174</v>
      </c>
      <c r="C171" s="678" t="s">
        <v>290</v>
      </c>
      <c r="D171" s="564"/>
      <c r="E171" s="541"/>
      <c r="F171" s="541"/>
      <c r="G171" s="541"/>
      <c r="H171" s="541"/>
      <c r="I171" s="647"/>
      <c r="J171" s="647"/>
      <c r="K171" s="670"/>
      <c r="L171" s="647"/>
      <c r="M171" s="647"/>
      <c r="N171" s="647"/>
      <c r="O171" s="647"/>
      <c r="Q171" s="670"/>
    </row>
    <row r="172" spans="1:17" ht="18.75">
      <c r="B172" s="596"/>
      <c r="C172" s="595"/>
      <c r="D172" s="564"/>
      <c r="E172" s="541"/>
      <c r="F172" s="541"/>
      <c r="G172" s="541"/>
      <c r="H172" s="541"/>
      <c r="I172" s="647"/>
      <c r="J172" s="647"/>
      <c r="K172" s="670"/>
      <c r="L172" s="647"/>
      <c r="M172" s="647"/>
      <c r="N172" s="647"/>
      <c r="O172" s="647"/>
      <c r="Q172" s="670"/>
    </row>
    <row r="173" spans="1:17" ht="18.75">
      <c r="B173" s="596"/>
      <c r="C173" s="595" t="s">
        <v>291</v>
      </c>
      <c r="D173" s="564"/>
      <c r="E173" s="541"/>
      <c r="F173" s="541"/>
      <c r="G173" s="541"/>
      <c r="H173" s="541"/>
      <c r="I173" s="647"/>
      <c r="J173" s="647"/>
      <c r="K173" s="670"/>
      <c r="L173" s="647"/>
      <c r="M173" s="647"/>
      <c r="N173" s="647"/>
      <c r="O173" s="647"/>
      <c r="Q173" s="670"/>
    </row>
    <row r="174" spans="1:17" ht="15.75" thickBot="1">
      <c r="B174" s="332"/>
      <c r="C174" s="398"/>
      <c r="D174" s="564"/>
      <c r="E174" s="541"/>
      <c r="F174" s="541"/>
      <c r="G174" s="541"/>
      <c r="H174" s="541"/>
      <c r="I174" s="647"/>
      <c r="J174" s="647"/>
      <c r="K174" s="670"/>
      <c r="L174" s="647"/>
      <c r="M174" s="647"/>
      <c r="N174" s="647"/>
      <c r="O174" s="647"/>
      <c r="Q174" s="670"/>
    </row>
    <row r="175" spans="1:17" ht="15.75">
      <c r="B175" s="332"/>
      <c r="C175" s="597" t="s">
        <v>292</v>
      </c>
      <c r="D175" s="564"/>
      <c r="E175" s="541"/>
      <c r="F175" s="541"/>
      <c r="G175" s="541"/>
      <c r="H175" s="870"/>
      <c r="I175" s="541" t="s">
        <v>271</v>
      </c>
      <c r="J175" s="541"/>
      <c r="K175" s="589"/>
      <c r="L175" s="762">
        <f>+J181</f>
        <v>2020</v>
      </c>
      <c r="M175" s="744" t="s">
        <v>254</v>
      </c>
      <c r="N175" s="744" t="s">
        <v>255</v>
      </c>
      <c r="O175" s="745" t="s">
        <v>256</v>
      </c>
      <c r="Q175" s="589"/>
    </row>
    <row r="176" spans="1:17" ht="15.75">
      <c r="B176" s="332"/>
      <c r="C176" s="597"/>
      <c r="D176" s="564"/>
      <c r="E176" s="541"/>
      <c r="F176" s="541"/>
      <c r="H176" s="541"/>
      <c r="I176" s="682"/>
      <c r="J176" s="682"/>
      <c r="K176" s="683"/>
      <c r="L176" s="763" t="s">
        <v>455</v>
      </c>
      <c r="M176" s="764">
        <f>VLOOKUP(J181,C188:P247,10)</f>
        <v>263834.05915473064</v>
      </c>
      <c r="N176" s="764">
        <f>VLOOKUP(J181,C188:P247,12)</f>
        <v>263834.05915473064</v>
      </c>
      <c r="O176" s="765">
        <f>+N176-M176</f>
        <v>0</v>
      </c>
      <c r="Q176" s="683"/>
    </row>
    <row r="177" spans="1:17">
      <c r="B177" s="332"/>
      <c r="C177" s="685" t="s">
        <v>293</v>
      </c>
      <c r="D177" s="1544" t="s">
        <v>975</v>
      </c>
      <c r="E177" s="1544"/>
      <c r="F177" s="1544"/>
      <c r="G177" s="1544"/>
      <c r="H177" s="881"/>
      <c r="I177" s="647"/>
      <c r="J177" s="647"/>
      <c r="K177" s="670"/>
      <c r="L177" s="763" t="s">
        <v>456</v>
      </c>
      <c r="M177" s="766">
        <f>VLOOKUP(J181,C188:P247,6)</f>
        <v>257648.64955288963</v>
      </c>
      <c r="N177" s="766">
        <f>VLOOKUP(J181,C188:P247,7)</f>
        <v>257648.64955288963</v>
      </c>
      <c r="O177" s="767">
        <f>+N177-M177</f>
        <v>0</v>
      </c>
      <c r="Q177" s="670"/>
    </row>
    <row r="178" spans="1:17" ht="13.5" thickBot="1">
      <c r="B178" s="332"/>
      <c r="C178" s="687"/>
      <c r="D178" s="688"/>
      <c r="E178" s="672"/>
      <c r="F178" s="672"/>
      <c r="G178" s="672"/>
      <c r="H178" s="689"/>
      <c r="I178" s="647"/>
      <c r="J178" s="647"/>
      <c r="K178" s="670"/>
      <c r="L178" s="708" t="s">
        <v>457</v>
      </c>
      <c r="M178" s="768">
        <f>+M177-M176</f>
        <v>-6185.4096018410055</v>
      </c>
      <c r="N178" s="768">
        <f>+N177-N176</f>
        <v>-6185.4096018410055</v>
      </c>
      <c r="O178" s="769">
        <f>+O177-O176</f>
        <v>0</v>
      </c>
      <c r="Q178" s="670"/>
    </row>
    <row r="179" spans="1:17" ht="13.5" thickBot="1">
      <c r="B179" s="332"/>
      <c r="C179" s="690"/>
      <c r="D179" s="691"/>
      <c r="E179" s="689"/>
      <c r="F179" s="689"/>
      <c r="G179" s="689"/>
      <c r="H179" s="689"/>
      <c r="I179" s="689"/>
      <c r="J179" s="689"/>
      <c r="K179" s="692"/>
      <c r="L179" s="689"/>
      <c r="M179" s="689"/>
      <c r="N179" s="689"/>
      <c r="O179" s="689"/>
      <c r="P179" s="577"/>
      <c r="Q179" s="692"/>
    </row>
    <row r="180" spans="1:17" ht="13.5" thickBot="1">
      <c r="B180" s="332"/>
      <c r="C180" s="694" t="s">
        <v>294</v>
      </c>
      <c r="D180" s="695"/>
      <c r="E180" s="695"/>
      <c r="F180" s="695"/>
      <c r="G180" s="695"/>
      <c r="H180" s="695"/>
      <c r="I180" s="695"/>
      <c r="J180" s="695"/>
      <c r="K180" s="697"/>
      <c r="P180" s="698"/>
      <c r="Q180" s="697"/>
    </row>
    <row r="181" spans="1:17" ht="15">
      <c r="A181" s="693"/>
      <c r="B181" s="332"/>
      <c r="C181" s="700" t="s">
        <v>272</v>
      </c>
      <c r="D181" s="871">
        <v>2476288.83</v>
      </c>
      <c r="E181" s="656" t="s">
        <v>273</v>
      </c>
      <c r="H181" s="701"/>
      <c r="I181" s="701"/>
      <c r="J181" s="702">
        <f>$J$95</f>
        <v>2020</v>
      </c>
      <c r="K181" s="587"/>
      <c r="L181" s="1545" t="s">
        <v>274</v>
      </c>
      <c r="M181" s="1545"/>
      <c r="N181" s="1545"/>
      <c r="O181" s="1545"/>
      <c r="P181" s="589"/>
      <c r="Q181" s="587"/>
    </row>
    <row r="182" spans="1:17">
      <c r="A182" s="693"/>
      <c r="B182" s="332"/>
      <c r="C182" s="700" t="s">
        <v>275</v>
      </c>
      <c r="D182" s="882">
        <v>2011</v>
      </c>
      <c r="E182" s="700" t="s">
        <v>276</v>
      </c>
      <c r="F182" s="701"/>
      <c r="G182" s="701"/>
      <c r="I182" s="332"/>
      <c r="J182" s="875">
        <v>0</v>
      </c>
      <c r="K182" s="703"/>
      <c r="L182" s="670" t="s">
        <v>475</v>
      </c>
      <c r="P182" s="589"/>
      <c r="Q182" s="703"/>
    </row>
    <row r="183" spans="1:17">
      <c r="A183" s="693"/>
      <c r="B183" s="332"/>
      <c r="C183" s="700" t="s">
        <v>277</v>
      </c>
      <c r="D183" s="873">
        <v>12</v>
      </c>
      <c r="E183" s="700" t="s">
        <v>278</v>
      </c>
      <c r="F183" s="701"/>
      <c r="G183" s="701"/>
      <c r="I183" s="332"/>
      <c r="J183" s="704">
        <f>$F$70</f>
        <v>0.1009634410531228</v>
      </c>
      <c r="K183" s="705"/>
      <c r="L183" s="541" t="str">
        <f>"          INPUT TRUE-UP ARR (WITH &amp; WITHOUT INCENTIVES) FROM EACH PRIOR YEAR"</f>
        <v xml:space="preserve">          INPUT TRUE-UP ARR (WITH &amp; WITHOUT INCENTIVES) FROM EACH PRIOR YEAR</v>
      </c>
      <c r="P183" s="589"/>
      <c r="Q183" s="705"/>
    </row>
    <row r="184" spans="1:17">
      <c r="A184" s="693"/>
      <c r="B184" s="332"/>
      <c r="C184" s="700" t="s">
        <v>279</v>
      </c>
      <c r="D184" s="706">
        <f>H79</f>
        <v>46</v>
      </c>
      <c r="E184" s="700" t="s">
        <v>280</v>
      </c>
      <c r="F184" s="701"/>
      <c r="G184" s="701"/>
      <c r="I184" s="332"/>
      <c r="J184" s="704">
        <f>IF(H175="",J183,$F$69)</f>
        <v>0.1009634410531228</v>
      </c>
      <c r="K184" s="707"/>
      <c r="L184" s="541" t="s">
        <v>362</v>
      </c>
      <c r="M184" s="707"/>
      <c r="N184" s="707"/>
      <c r="O184" s="707"/>
      <c r="P184" s="589"/>
      <c r="Q184" s="707"/>
    </row>
    <row r="185" spans="1:17" ht="13.5" thickBot="1">
      <c r="A185" s="693"/>
      <c r="B185" s="332"/>
      <c r="C185" s="700" t="s">
        <v>281</v>
      </c>
      <c r="D185" s="874" t="s">
        <v>974</v>
      </c>
      <c r="E185" s="708" t="s">
        <v>282</v>
      </c>
      <c r="F185" s="709"/>
      <c r="G185" s="709"/>
      <c r="H185" s="710"/>
      <c r="I185" s="710"/>
      <c r="J185" s="686">
        <f>IF(D181=0,0,D181/D184)</f>
        <v>53832.365869565219</v>
      </c>
      <c r="K185" s="670"/>
      <c r="L185" s="670" t="s">
        <v>363</v>
      </c>
      <c r="M185" s="670"/>
      <c r="N185" s="670"/>
      <c r="O185" s="670"/>
      <c r="P185" s="589"/>
      <c r="Q185" s="670"/>
    </row>
    <row r="186" spans="1:17" ht="38.25">
      <c r="A186" s="528"/>
      <c r="B186" s="528"/>
      <c r="C186" s="711" t="s">
        <v>272</v>
      </c>
      <c r="D186" s="712" t="s">
        <v>283</v>
      </c>
      <c r="E186" s="713" t="s">
        <v>284</v>
      </c>
      <c r="F186" s="712" t="s">
        <v>285</v>
      </c>
      <c r="G186" s="712" t="s">
        <v>458</v>
      </c>
      <c r="H186" s="713" t="s">
        <v>356</v>
      </c>
      <c r="I186" s="714" t="s">
        <v>356</v>
      </c>
      <c r="J186" s="711" t="s">
        <v>295</v>
      </c>
      <c r="K186" s="715"/>
      <c r="L186" s="713" t="s">
        <v>358</v>
      </c>
      <c r="M186" s="713" t="s">
        <v>364</v>
      </c>
      <c r="N186" s="713" t="s">
        <v>358</v>
      </c>
      <c r="O186" s="713" t="s">
        <v>366</v>
      </c>
      <c r="P186" s="713" t="s">
        <v>286</v>
      </c>
      <c r="Q186" s="716"/>
    </row>
    <row r="187" spans="1:17" ht="13.5" thickBot="1">
      <c r="B187" s="332"/>
      <c r="C187" s="717" t="s">
        <v>177</v>
      </c>
      <c r="D187" s="718" t="s">
        <v>178</v>
      </c>
      <c r="E187" s="717" t="s">
        <v>37</v>
      </c>
      <c r="F187" s="718" t="s">
        <v>178</v>
      </c>
      <c r="G187" s="718" t="s">
        <v>178</v>
      </c>
      <c r="H187" s="719" t="s">
        <v>298</v>
      </c>
      <c r="I187" s="720" t="s">
        <v>300</v>
      </c>
      <c r="J187" s="721" t="s">
        <v>389</v>
      </c>
      <c r="K187" s="722"/>
      <c r="L187" s="719" t="s">
        <v>287</v>
      </c>
      <c r="M187" s="719" t="s">
        <v>287</v>
      </c>
      <c r="N187" s="719" t="s">
        <v>467</v>
      </c>
      <c r="O187" s="719" t="s">
        <v>467</v>
      </c>
      <c r="P187" s="719" t="s">
        <v>467</v>
      </c>
      <c r="Q187" s="587"/>
    </row>
    <row r="188" spans="1:17">
      <c r="B188" s="332"/>
      <c r="C188" s="723">
        <f>IF(D182= "","-",D182)</f>
        <v>2011</v>
      </c>
      <c r="D188" s="674">
        <f>+D181</f>
        <v>2476288.83</v>
      </c>
      <c r="E188" s="724">
        <f>+J185/12*(12-D183)</f>
        <v>0</v>
      </c>
      <c r="F188" s="770">
        <f t="shared" ref="F188:F247" si="16">+D188-E188</f>
        <v>2476288.83</v>
      </c>
      <c r="G188" s="674">
        <f t="shared" ref="G188:G247" si="17">+(D188+F188)/2</f>
        <v>2476288.83</v>
      </c>
      <c r="H188" s="725">
        <f>+J183*G188+E188</f>
        <v>250014.64131821142</v>
      </c>
      <c r="I188" s="726">
        <f>+J184*G188+E188</f>
        <v>250014.64131821142</v>
      </c>
      <c r="J188" s="727">
        <f t="shared" ref="J188:J247" si="18">+I188-H188</f>
        <v>0</v>
      </c>
      <c r="K188" s="727"/>
      <c r="L188" s="728">
        <v>0</v>
      </c>
      <c r="M188" s="771">
        <f t="shared" ref="M188:M247" si="19">IF(L188&lt;&gt;0,+H188-L188,0)</f>
        <v>0</v>
      </c>
      <c r="N188" s="728">
        <v>0</v>
      </c>
      <c r="O188" s="771">
        <f t="shared" ref="O188:O247" si="20">IF(N188&lt;&gt;0,+I188-N188,0)</f>
        <v>0</v>
      </c>
      <c r="P188" s="771">
        <f t="shared" ref="P188:P247" si="21">+O188-M188</f>
        <v>0</v>
      </c>
      <c r="Q188" s="675"/>
    </row>
    <row r="189" spans="1:17">
      <c r="B189" s="332"/>
      <c r="C189" s="723">
        <f>IF(D182="","-",+C188+1)</f>
        <v>2012</v>
      </c>
      <c r="D189" s="674">
        <f t="shared" ref="D189:D247" si="22">F188</f>
        <v>2476288.83</v>
      </c>
      <c r="E189" s="730">
        <f>IF(D189&gt;$J$185,$J$185,D189)</f>
        <v>53832.365869565219</v>
      </c>
      <c r="F189" s="730">
        <f t="shared" si="16"/>
        <v>2422456.4641304347</v>
      </c>
      <c r="G189" s="674">
        <f t="shared" si="17"/>
        <v>2449372.6470652176</v>
      </c>
      <c r="H189" s="724">
        <f>+J183*G189+E189</f>
        <v>301129.45673866564</v>
      </c>
      <c r="I189" s="731">
        <f>+J184*G189+E189</f>
        <v>301129.45673866564</v>
      </c>
      <c r="J189" s="727">
        <f t="shared" si="18"/>
        <v>0</v>
      </c>
      <c r="K189" s="727"/>
      <c r="L189" s="732">
        <v>39854</v>
      </c>
      <c r="M189" s="727">
        <f t="shared" si="19"/>
        <v>261275.45673866564</v>
      </c>
      <c r="N189" s="732">
        <v>39854</v>
      </c>
      <c r="O189" s="727">
        <f t="shared" si="20"/>
        <v>261275.45673866564</v>
      </c>
      <c r="P189" s="727">
        <f t="shared" si="21"/>
        <v>0</v>
      </c>
      <c r="Q189" s="675"/>
    </row>
    <row r="190" spans="1:17">
      <c r="B190" s="332"/>
      <c r="C190" s="723">
        <f>IF(D182="","-",+C189+1)</f>
        <v>2013</v>
      </c>
      <c r="D190" s="674">
        <f t="shared" si="22"/>
        <v>2422456.4641304347</v>
      </c>
      <c r="E190" s="730">
        <f t="shared" ref="E190:E247" si="23">IF(D190&gt;$J$185,$J$185,D190)</f>
        <v>53832.365869565219</v>
      </c>
      <c r="F190" s="730">
        <f t="shared" si="16"/>
        <v>2368624.0982608693</v>
      </c>
      <c r="G190" s="674">
        <f t="shared" si="17"/>
        <v>2395540.2811956517</v>
      </c>
      <c r="H190" s="724">
        <f>+J183*G190+E190</f>
        <v>295694.35584044363</v>
      </c>
      <c r="I190" s="731">
        <f>+J184*G190+E190</f>
        <v>295694.35584044363</v>
      </c>
      <c r="J190" s="727">
        <f t="shared" si="18"/>
        <v>0</v>
      </c>
      <c r="K190" s="727"/>
      <c r="L190" s="732">
        <v>41778</v>
      </c>
      <c r="M190" s="727">
        <f t="shared" si="19"/>
        <v>253916.35584044363</v>
      </c>
      <c r="N190" s="732">
        <v>41778</v>
      </c>
      <c r="O190" s="727">
        <f t="shared" si="20"/>
        <v>253916.35584044363</v>
      </c>
      <c r="P190" s="727">
        <f t="shared" si="21"/>
        <v>0</v>
      </c>
      <c r="Q190" s="675"/>
    </row>
    <row r="191" spans="1:17">
      <c r="B191" s="332"/>
      <c r="C191" s="723">
        <f>IF(D182="","-",+C190+1)</f>
        <v>2014</v>
      </c>
      <c r="D191" s="674">
        <f t="shared" si="22"/>
        <v>2368624.0982608693</v>
      </c>
      <c r="E191" s="730">
        <f t="shared" si="23"/>
        <v>53832.365869565219</v>
      </c>
      <c r="F191" s="730">
        <f t="shared" si="16"/>
        <v>2314791.7323913039</v>
      </c>
      <c r="G191" s="674">
        <f t="shared" si="17"/>
        <v>2341707.9153260868</v>
      </c>
      <c r="H191" s="724">
        <f>+J183*G191+E191</f>
        <v>290259.25494222163</v>
      </c>
      <c r="I191" s="731">
        <f>+J184*G191+E191</f>
        <v>290259.25494222163</v>
      </c>
      <c r="J191" s="727">
        <f t="shared" si="18"/>
        <v>0</v>
      </c>
      <c r="K191" s="727"/>
      <c r="L191" s="732">
        <v>36470</v>
      </c>
      <c r="M191" s="727">
        <f t="shared" si="19"/>
        <v>253789.25494222163</v>
      </c>
      <c r="N191" s="732">
        <v>36470</v>
      </c>
      <c r="O191" s="727">
        <f t="shared" si="20"/>
        <v>253789.25494222163</v>
      </c>
      <c r="P191" s="727">
        <f t="shared" si="21"/>
        <v>0</v>
      </c>
      <c r="Q191" s="675"/>
    </row>
    <row r="192" spans="1:17">
      <c r="B192" s="332"/>
      <c r="C192" s="723">
        <f>IF(D182="","-",+C191+1)</f>
        <v>2015</v>
      </c>
      <c r="D192" s="674">
        <f t="shared" si="22"/>
        <v>2314791.7323913039</v>
      </c>
      <c r="E192" s="730">
        <f t="shared" si="23"/>
        <v>53832.365869565219</v>
      </c>
      <c r="F192" s="730">
        <f t="shared" si="16"/>
        <v>2260959.3665217385</v>
      </c>
      <c r="G192" s="674">
        <f t="shared" si="17"/>
        <v>2287875.5494565209</v>
      </c>
      <c r="H192" s="724">
        <f>+J183*G192+E192</f>
        <v>284824.15404399962</v>
      </c>
      <c r="I192" s="731">
        <f>+J184*G192+E192</f>
        <v>284824.15404399962</v>
      </c>
      <c r="J192" s="727">
        <f t="shared" si="18"/>
        <v>0</v>
      </c>
      <c r="K192" s="727"/>
      <c r="L192" s="732">
        <v>36769</v>
      </c>
      <c r="M192" s="727">
        <f t="shared" si="19"/>
        <v>248055.15404399962</v>
      </c>
      <c r="N192" s="732">
        <v>36769</v>
      </c>
      <c r="O192" s="727">
        <f t="shared" si="20"/>
        <v>248055.15404399962</v>
      </c>
      <c r="P192" s="727">
        <f t="shared" si="21"/>
        <v>0</v>
      </c>
      <c r="Q192" s="675"/>
    </row>
    <row r="193" spans="2:17">
      <c r="B193" s="332"/>
      <c r="C193" s="723">
        <f>IF(D182="","-",+C192+1)</f>
        <v>2016</v>
      </c>
      <c r="D193" s="674">
        <f t="shared" si="22"/>
        <v>2260959.3665217385</v>
      </c>
      <c r="E193" s="730">
        <f t="shared" si="23"/>
        <v>53832.365869565219</v>
      </c>
      <c r="F193" s="730">
        <f t="shared" si="16"/>
        <v>2207127.0006521731</v>
      </c>
      <c r="G193" s="674">
        <f t="shared" si="17"/>
        <v>2234043.183586956</v>
      </c>
      <c r="H193" s="724">
        <f>+J183*G193+E193</f>
        <v>279389.05314577767</v>
      </c>
      <c r="I193" s="731">
        <f>+J184*G193+E193</f>
        <v>279389.05314577767</v>
      </c>
      <c r="J193" s="727">
        <f t="shared" si="18"/>
        <v>0</v>
      </c>
      <c r="K193" s="727"/>
      <c r="L193" s="732">
        <v>35303</v>
      </c>
      <c r="M193" s="727">
        <f t="shared" si="19"/>
        <v>244086.05314577767</v>
      </c>
      <c r="N193" s="732">
        <v>35303</v>
      </c>
      <c r="O193" s="727">
        <f t="shared" si="20"/>
        <v>244086.05314577767</v>
      </c>
      <c r="P193" s="727">
        <f t="shared" si="21"/>
        <v>0</v>
      </c>
      <c r="Q193" s="675"/>
    </row>
    <row r="194" spans="2:17">
      <c r="B194" s="332"/>
      <c r="C194" s="723">
        <f>IF(D182="","-",+C193+1)</f>
        <v>2017</v>
      </c>
      <c r="D194" s="674">
        <f t="shared" si="22"/>
        <v>2207127.0006521731</v>
      </c>
      <c r="E194" s="730">
        <f t="shared" si="23"/>
        <v>53832.365869565219</v>
      </c>
      <c r="F194" s="730">
        <f t="shared" si="16"/>
        <v>2153294.6347826077</v>
      </c>
      <c r="G194" s="674">
        <f t="shared" si="17"/>
        <v>2180210.8177173901</v>
      </c>
      <c r="H194" s="724">
        <f>+J183*G194+E194</f>
        <v>273953.9522475556</v>
      </c>
      <c r="I194" s="731">
        <f>+J184*G194+E194</f>
        <v>273953.9522475556</v>
      </c>
      <c r="J194" s="727">
        <f t="shared" si="18"/>
        <v>0</v>
      </c>
      <c r="K194" s="727"/>
      <c r="L194" s="732">
        <v>331151</v>
      </c>
      <c r="M194" s="727">
        <f t="shared" si="19"/>
        <v>-57197.0477524444</v>
      </c>
      <c r="N194" s="732">
        <v>331151</v>
      </c>
      <c r="O194" s="727">
        <f t="shared" si="20"/>
        <v>-57197.0477524444</v>
      </c>
      <c r="P194" s="727">
        <f t="shared" si="21"/>
        <v>0</v>
      </c>
      <c r="Q194" s="675"/>
    </row>
    <row r="195" spans="2:17">
      <c r="B195" s="332"/>
      <c r="C195" s="723">
        <f>IF(D182="","-",+C194+1)</f>
        <v>2018</v>
      </c>
      <c r="D195" s="1453">
        <f t="shared" si="22"/>
        <v>2153294.6347826077</v>
      </c>
      <c r="E195" s="730">
        <f t="shared" si="23"/>
        <v>53832.365869565219</v>
      </c>
      <c r="F195" s="730">
        <f t="shared" si="16"/>
        <v>2099462.2689130423</v>
      </c>
      <c r="G195" s="674">
        <f t="shared" si="17"/>
        <v>2126378.4518478252</v>
      </c>
      <c r="H195" s="724">
        <f>+J183*G195+E195</f>
        <v>268518.85134933365</v>
      </c>
      <c r="I195" s="731">
        <f>+J184*G195+E195</f>
        <v>268518.85134933365</v>
      </c>
      <c r="J195" s="727">
        <f t="shared" si="18"/>
        <v>0</v>
      </c>
      <c r="K195" s="727"/>
      <c r="L195" s="732">
        <v>279967</v>
      </c>
      <c r="M195" s="727">
        <f t="shared" si="19"/>
        <v>-11448.14865066635</v>
      </c>
      <c r="N195" s="732">
        <v>279967</v>
      </c>
      <c r="O195" s="727">
        <f t="shared" si="20"/>
        <v>-11448.14865066635</v>
      </c>
      <c r="P195" s="727">
        <f t="shared" si="21"/>
        <v>0</v>
      </c>
      <c r="Q195" s="675"/>
    </row>
    <row r="196" spans="2:17">
      <c r="B196" s="332"/>
      <c r="C196" s="723">
        <f>IF(D182="","-",+C195+1)</f>
        <v>2019</v>
      </c>
      <c r="D196" s="674">
        <f t="shared" si="22"/>
        <v>2099462.2689130423</v>
      </c>
      <c r="E196" s="730">
        <f t="shared" si="23"/>
        <v>53832.365869565219</v>
      </c>
      <c r="F196" s="730">
        <f t="shared" si="16"/>
        <v>2045629.9030434771</v>
      </c>
      <c r="G196" s="674">
        <f t="shared" si="17"/>
        <v>2072546.0859782598</v>
      </c>
      <c r="H196" s="724">
        <f>+J183*G196+E196</f>
        <v>263083.75045111164</v>
      </c>
      <c r="I196" s="731">
        <f>+J184*G196+E196</f>
        <v>263083.75045111164</v>
      </c>
      <c r="J196" s="727">
        <f t="shared" si="18"/>
        <v>0</v>
      </c>
      <c r="K196" s="727"/>
      <c r="L196" s="732">
        <v>289092</v>
      </c>
      <c r="M196" s="727">
        <f t="shared" si="19"/>
        <v>-26008.249548888358</v>
      </c>
      <c r="N196" s="732">
        <v>289092</v>
      </c>
      <c r="O196" s="727">
        <f t="shared" si="20"/>
        <v>-26008.249548888358</v>
      </c>
      <c r="P196" s="727">
        <f t="shared" si="21"/>
        <v>0</v>
      </c>
      <c r="Q196" s="675"/>
    </row>
    <row r="197" spans="2:17">
      <c r="B197" s="332"/>
      <c r="C197" s="723">
        <f>IF(D182="","-",+C196+1)</f>
        <v>2020</v>
      </c>
      <c r="D197" s="674">
        <f t="shared" si="22"/>
        <v>2045629.9030434771</v>
      </c>
      <c r="E197" s="730">
        <f t="shared" si="23"/>
        <v>53832.365869565219</v>
      </c>
      <c r="F197" s="730">
        <f t="shared" si="16"/>
        <v>1991797.5371739119</v>
      </c>
      <c r="G197" s="674">
        <f t="shared" si="17"/>
        <v>2018713.7201086944</v>
      </c>
      <c r="H197" s="724">
        <f>+J183*G197+E197</f>
        <v>257648.64955288963</v>
      </c>
      <c r="I197" s="731">
        <f>+J184*G197+E197</f>
        <v>257648.64955288963</v>
      </c>
      <c r="J197" s="727">
        <f t="shared" si="18"/>
        <v>0</v>
      </c>
      <c r="K197" s="727"/>
      <c r="L197" s="732">
        <v>263834.05915473064</v>
      </c>
      <c r="M197" s="727">
        <f t="shared" si="19"/>
        <v>-6185.4096018410055</v>
      </c>
      <c r="N197" s="732">
        <v>263834.05915473064</v>
      </c>
      <c r="O197" s="727">
        <f t="shared" si="20"/>
        <v>-6185.4096018410055</v>
      </c>
      <c r="P197" s="727">
        <f t="shared" si="21"/>
        <v>0</v>
      </c>
      <c r="Q197" s="675"/>
    </row>
    <row r="198" spans="2:17">
      <c r="B198" s="332"/>
      <c r="C198" s="723">
        <f>IF(D182="","-",+C197+1)</f>
        <v>2021</v>
      </c>
      <c r="D198" s="674">
        <f t="shared" si="22"/>
        <v>1991797.5371739119</v>
      </c>
      <c r="E198" s="730">
        <f t="shared" si="23"/>
        <v>53832.365869565219</v>
      </c>
      <c r="F198" s="730">
        <f t="shared" si="16"/>
        <v>1937965.1713043468</v>
      </c>
      <c r="G198" s="674">
        <f t="shared" si="17"/>
        <v>1964881.3542391295</v>
      </c>
      <c r="H198" s="724">
        <f>+J183*G198+E198</f>
        <v>252213.54865466768</v>
      </c>
      <c r="I198" s="731">
        <f>+J184*G198+E198</f>
        <v>252213.54865466768</v>
      </c>
      <c r="J198" s="727">
        <f t="shared" si="18"/>
        <v>0</v>
      </c>
      <c r="K198" s="727"/>
      <c r="L198" s="732">
        <v>0</v>
      </c>
      <c r="M198" s="727">
        <f t="shared" si="19"/>
        <v>0</v>
      </c>
      <c r="N198" s="732">
        <v>0</v>
      </c>
      <c r="O198" s="727">
        <f t="shared" si="20"/>
        <v>0</v>
      </c>
      <c r="P198" s="727">
        <f t="shared" si="21"/>
        <v>0</v>
      </c>
      <c r="Q198" s="675"/>
    </row>
    <row r="199" spans="2:17">
      <c r="B199" s="332"/>
      <c r="C199" s="723">
        <f>IF(D182="","-",+C198+1)</f>
        <v>2022</v>
      </c>
      <c r="D199" s="674">
        <f t="shared" si="22"/>
        <v>1937965.1713043468</v>
      </c>
      <c r="E199" s="730">
        <f t="shared" si="23"/>
        <v>53832.365869565219</v>
      </c>
      <c r="F199" s="730">
        <f t="shared" si="16"/>
        <v>1884132.8054347816</v>
      </c>
      <c r="G199" s="674">
        <f t="shared" si="17"/>
        <v>1911048.9883695641</v>
      </c>
      <c r="H199" s="724">
        <f>+J183*G199+E199</f>
        <v>246778.44775644568</v>
      </c>
      <c r="I199" s="731">
        <f>+J184*G199+E199</f>
        <v>246778.44775644568</v>
      </c>
      <c r="J199" s="727">
        <f t="shared" si="18"/>
        <v>0</v>
      </c>
      <c r="K199" s="727"/>
      <c r="L199" s="732"/>
      <c r="M199" s="727">
        <f t="shared" si="19"/>
        <v>0</v>
      </c>
      <c r="N199" s="732"/>
      <c r="O199" s="727">
        <f t="shared" si="20"/>
        <v>0</v>
      </c>
      <c r="P199" s="727">
        <f t="shared" si="21"/>
        <v>0</v>
      </c>
      <c r="Q199" s="675"/>
    </row>
    <row r="200" spans="2:17">
      <c r="B200" s="332"/>
      <c r="C200" s="723">
        <f>IF(D182="","-",+C199+1)</f>
        <v>2023</v>
      </c>
      <c r="D200" s="674">
        <f t="shared" si="22"/>
        <v>1884132.8054347816</v>
      </c>
      <c r="E200" s="730">
        <f t="shared" si="23"/>
        <v>53832.365869565219</v>
      </c>
      <c r="F200" s="730">
        <f t="shared" si="16"/>
        <v>1830300.4395652164</v>
      </c>
      <c r="G200" s="674">
        <f t="shared" si="17"/>
        <v>1857216.6224999991</v>
      </c>
      <c r="H200" s="724">
        <f>+J183*G200+E200</f>
        <v>241343.3468582237</v>
      </c>
      <c r="I200" s="731">
        <f>+J184*G200+E200</f>
        <v>241343.3468582237</v>
      </c>
      <c r="J200" s="727">
        <f t="shared" si="18"/>
        <v>0</v>
      </c>
      <c r="K200" s="727"/>
      <c r="L200" s="732"/>
      <c r="M200" s="727">
        <f t="shared" si="19"/>
        <v>0</v>
      </c>
      <c r="N200" s="732"/>
      <c r="O200" s="727">
        <f t="shared" si="20"/>
        <v>0</v>
      </c>
      <c r="P200" s="727">
        <f t="shared" si="21"/>
        <v>0</v>
      </c>
      <c r="Q200" s="675"/>
    </row>
    <row r="201" spans="2:17">
      <c r="B201" s="332"/>
      <c r="C201" s="723">
        <f>IF(D182="","-",+C200+1)</f>
        <v>2024</v>
      </c>
      <c r="D201" s="674">
        <f t="shared" si="22"/>
        <v>1830300.4395652164</v>
      </c>
      <c r="E201" s="730">
        <f t="shared" si="23"/>
        <v>53832.365869565219</v>
      </c>
      <c r="F201" s="730">
        <f t="shared" si="16"/>
        <v>1776468.0736956513</v>
      </c>
      <c r="G201" s="674">
        <f t="shared" si="17"/>
        <v>1803384.2566304337</v>
      </c>
      <c r="H201" s="724">
        <f>+J183*G201+E201</f>
        <v>235908.24596000169</v>
      </c>
      <c r="I201" s="731">
        <f>+J184*G201+E201</f>
        <v>235908.24596000169</v>
      </c>
      <c r="J201" s="727">
        <f t="shared" si="18"/>
        <v>0</v>
      </c>
      <c r="K201" s="727"/>
      <c r="L201" s="732"/>
      <c r="M201" s="727">
        <f t="shared" si="19"/>
        <v>0</v>
      </c>
      <c r="N201" s="732"/>
      <c r="O201" s="727">
        <f t="shared" si="20"/>
        <v>0</v>
      </c>
      <c r="P201" s="727">
        <f t="shared" si="21"/>
        <v>0</v>
      </c>
      <c r="Q201" s="675"/>
    </row>
    <row r="202" spans="2:17">
      <c r="B202" s="332"/>
      <c r="C202" s="723">
        <f>IF(D182="","-",+C201+1)</f>
        <v>2025</v>
      </c>
      <c r="D202" s="674">
        <f t="shared" si="22"/>
        <v>1776468.0736956513</v>
      </c>
      <c r="E202" s="730">
        <f t="shared" si="23"/>
        <v>53832.365869565219</v>
      </c>
      <c r="F202" s="730">
        <f t="shared" si="16"/>
        <v>1722635.7078260861</v>
      </c>
      <c r="G202" s="674">
        <f t="shared" si="17"/>
        <v>1749551.8907608688</v>
      </c>
      <c r="H202" s="724">
        <f>+J183*G202+E202</f>
        <v>230473.14506177974</v>
      </c>
      <c r="I202" s="731">
        <f>+J184*G202+E202</f>
        <v>230473.14506177974</v>
      </c>
      <c r="J202" s="727">
        <f t="shared" si="18"/>
        <v>0</v>
      </c>
      <c r="K202" s="727"/>
      <c r="L202" s="732"/>
      <c r="M202" s="727">
        <f t="shared" si="19"/>
        <v>0</v>
      </c>
      <c r="N202" s="732"/>
      <c r="O202" s="727">
        <f t="shared" si="20"/>
        <v>0</v>
      </c>
      <c r="P202" s="727">
        <f t="shared" si="21"/>
        <v>0</v>
      </c>
      <c r="Q202" s="675"/>
    </row>
    <row r="203" spans="2:17">
      <c r="B203" s="332"/>
      <c r="C203" s="723">
        <f>IF(D182="","-",+C202+1)</f>
        <v>2026</v>
      </c>
      <c r="D203" s="674">
        <f t="shared" si="22"/>
        <v>1722635.7078260861</v>
      </c>
      <c r="E203" s="730">
        <f t="shared" si="23"/>
        <v>53832.365869565219</v>
      </c>
      <c r="F203" s="730">
        <f t="shared" si="16"/>
        <v>1668803.3419565209</v>
      </c>
      <c r="G203" s="674">
        <f t="shared" si="17"/>
        <v>1695719.5248913034</v>
      </c>
      <c r="H203" s="724">
        <f>+J183*G203+E203</f>
        <v>225038.04416355773</v>
      </c>
      <c r="I203" s="731">
        <f>+J184*G203+E203</f>
        <v>225038.04416355773</v>
      </c>
      <c r="J203" s="727">
        <f t="shared" si="18"/>
        <v>0</v>
      </c>
      <c r="K203" s="727"/>
      <c r="L203" s="732"/>
      <c r="M203" s="727">
        <f t="shared" si="19"/>
        <v>0</v>
      </c>
      <c r="N203" s="732"/>
      <c r="O203" s="727">
        <f t="shared" si="20"/>
        <v>0</v>
      </c>
      <c r="P203" s="727">
        <f t="shared" si="21"/>
        <v>0</v>
      </c>
      <c r="Q203" s="675"/>
    </row>
    <row r="204" spans="2:17">
      <c r="B204" s="332"/>
      <c r="C204" s="723">
        <f>IF(D182="","-",+C203+1)</f>
        <v>2027</v>
      </c>
      <c r="D204" s="674">
        <f t="shared" si="22"/>
        <v>1668803.3419565209</v>
      </c>
      <c r="E204" s="730">
        <f t="shared" si="23"/>
        <v>53832.365869565219</v>
      </c>
      <c r="F204" s="730">
        <f t="shared" si="16"/>
        <v>1614970.9760869558</v>
      </c>
      <c r="G204" s="674">
        <f t="shared" si="17"/>
        <v>1641887.1590217385</v>
      </c>
      <c r="H204" s="724">
        <f>+J183*G204+E204</f>
        <v>219602.94326533578</v>
      </c>
      <c r="I204" s="731">
        <f>+J184*G204+E204</f>
        <v>219602.94326533578</v>
      </c>
      <c r="J204" s="727">
        <f t="shared" si="18"/>
        <v>0</v>
      </c>
      <c r="K204" s="727"/>
      <c r="L204" s="732"/>
      <c r="M204" s="727">
        <f t="shared" si="19"/>
        <v>0</v>
      </c>
      <c r="N204" s="732"/>
      <c r="O204" s="727">
        <f t="shared" si="20"/>
        <v>0</v>
      </c>
      <c r="P204" s="727">
        <f t="shared" si="21"/>
        <v>0</v>
      </c>
      <c r="Q204" s="675"/>
    </row>
    <row r="205" spans="2:17">
      <c r="B205" s="332"/>
      <c r="C205" s="723">
        <f>IF(D182="","-",+C204+1)</f>
        <v>2028</v>
      </c>
      <c r="D205" s="674">
        <f t="shared" si="22"/>
        <v>1614970.9760869558</v>
      </c>
      <c r="E205" s="730">
        <f t="shared" si="23"/>
        <v>53832.365869565219</v>
      </c>
      <c r="F205" s="730">
        <f t="shared" si="16"/>
        <v>1561138.6102173906</v>
      </c>
      <c r="G205" s="674">
        <f t="shared" si="17"/>
        <v>1588054.793152173</v>
      </c>
      <c r="H205" s="724">
        <f>+J183*G205+E205</f>
        <v>214167.84236711377</v>
      </c>
      <c r="I205" s="731">
        <f>+J184*G205+E205</f>
        <v>214167.84236711377</v>
      </c>
      <c r="J205" s="727">
        <f t="shared" si="18"/>
        <v>0</v>
      </c>
      <c r="K205" s="727"/>
      <c r="L205" s="732"/>
      <c r="M205" s="727">
        <f t="shared" si="19"/>
        <v>0</v>
      </c>
      <c r="N205" s="732"/>
      <c r="O205" s="727">
        <f t="shared" si="20"/>
        <v>0</v>
      </c>
      <c r="P205" s="727">
        <f t="shared" si="21"/>
        <v>0</v>
      </c>
      <c r="Q205" s="675"/>
    </row>
    <row r="206" spans="2:17">
      <c r="B206" s="332"/>
      <c r="C206" s="723">
        <f>IF(D182="","-",+C205+1)</f>
        <v>2029</v>
      </c>
      <c r="D206" s="674">
        <f t="shared" si="22"/>
        <v>1561138.6102173906</v>
      </c>
      <c r="E206" s="730">
        <f t="shared" si="23"/>
        <v>53832.365869565219</v>
      </c>
      <c r="F206" s="730">
        <f t="shared" si="16"/>
        <v>1507306.2443478254</v>
      </c>
      <c r="G206" s="674">
        <f t="shared" si="17"/>
        <v>1534222.4272826081</v>
      </c>
      <c r="H206" s="724">
        <f>+J183*G206+E206</f>
        <v>208732.74146889182</v>
      </c>
      <c r="I206" s="731">
        <f>+J184*G206+E206</f>
        <v>208732.74146889182</v>
      </c>
      <c r="J206" s="727">
        <f t="shared" si="18"/>
        <v>0</v>
      </c>
      <c r="K206" s="727"/>
      <c r="L206" s="732"/>
      <c r="M206" s="727">
        <f t="shared" si="19"/>
        <v>0</v>
      </c>
      <c r="N206" s="732"/>
      <c r="O206" s="727">
        <f t="shared" si="20"/>
        <v>0</v>
      </c>
      <c r="P206" s="727">
        <f t="shared" si="21"/>
        <v>0</v>
      </c>
      <c r="Q206" s="675"/>
    </row>
    <row r="207" spans="2:17">
      <c r="B207" s="332"/>
      <c r="C207" s="723">
        <f>IF(D182="","-",+C206+1)</f>
        <v>2030</v>
      </c>
      <c r="D207" s="674">
        <f t="shared" si="22"/>
        <v>1507306.2443478254</v>
      </c>
      <c r="E207" s="730">
        <f t="shared" si="23"/>
        <v>53832.365869565219</v>
      </c>
      <c r="F207" s="730">
        <f t="shared" si="16"/>
        <v>1453473.8784782602</v>
      </c>
      <c r="G207" s="674">
        <f t="shared" si="17"/>
        <v>1480390.0614130427</v>
      </c>
      <c r="H207" s="724">
        <f>+J183*G207+E207</f>
        <v>203297.64057066981</v>
      </c>
      <c r="I207" s="731">
        <f>+J184*G207+E207</f>
        <v>203297.64057066981</v>
      </c>
      <c r="J207" s="727">
        <f t="shared" si="18"/>
        <v>0</v>
      </c>
      <c r="K207" s="727"/>
      <c r="L207" s="732"/>
      <c r="M207" s="727">
        <f t="shared" si="19"/>
        <v>0</v>
      </c>
      <c r="N207" s="732"/>
      <c r="O207" s="727">
        <f t="shared" si="20"/>
        <v>0</v>
      </c>
      <c r="P207" s="727">
        <f t="shared" si="21"/>
        <v>0</v>
      </c>
      <c r="Q207" s="675"/>
    </row>
    <row r="208" spans="2:17">
      <c r="B208" s="332"/>
      <c r="C208" s="723">
        <f>IF(D182="","-",+C207+1)</f>
        <v>2031</v>
      </c>
      <c r="D208" s="674">
        <f t="shared" si="22"/>
        <v>1453473.8784782602</v>
      </c>
      <c r="E208" s="730">
        <f t="shared" si="23"/>
        <v>53832.365869565219</v>
      </c>
      <c r="F208" s="730">
        <f t="shared" si="16"/>
        <v>1399641.5126086951</v>
      </c>
      <c r="G208" s="674">
        <f t="shared" si="17"/>
        <v>1426557.6955434778</v>
      </c>
      <c r="H208" s="724">
        <f>+J183*G208+E208</f>
        <v>197862.53967244783</v>
      </c>
      <c r="I208" s="731">
        <f>+J184*G208+E208</f>
        <v>197862.53967244783</v>
      </c>
      <c r="J208" s="727">
        <f t="shared" si="18"/>
        <v>0</v>
      </c>
      <c r="K208" s="727"/>
      <c r="L208" s="732"/>
      <c r="M208" s="727">
        <f t="shared" si="19"/>
        <v>0</v>
      </c>
      <c r="N208" s="732"/>
      <c r="O208" s="727">
        <f t="shared" si="20"/>
        <v>0</v>
      </c>
      <c r="P208" s="727">
        <f t="shared" si="21"/>
        <v>0</v>
      </c>
      <c r="Q208" s="675"/>
    </row>
    <row r="209" spans="2:17">
      <c r="B209" s="332"/>
      <c r="C209" s="723">
        <f>IF(D182="","-",+C208+1)</f>
        <v>2032</v>
      </c>
      <c r="D209" s="674">
        <f t="shared" si="22"/>
        <v>1399641.5126086951</v>
      </c>
      <c r="E209" s="730">
        <f t="shared" si="23"/>
        <v>53832.365869565219</v>
      </c>
      <c r="F209" s="730">
        <f t="shared" si="16"/>
        <v>1345809.1467391299</v>
      </c>
      <c r="G209" s="674">
        <f t="shared" si="17"/>
        <v>1372725.3296739124</v>
      </c>
      <c r="H209" s="724">
        <f>+J183*G209+E209</f>
        <v>192427.43877422583</v>
      </c>
      <c r="I209" s="731">
        <f>+J184*G209+E209</f>
        <v>192427.43877422583</v>
      </c>
      <c r="J209" s="727">
        <f t="shared" si="18"/>
        <v>0</v>
      </c>
      <c r="K209" s="727"/>
      <c r="L209" s="732"/>
      <c r="M209" s="727">
        <f t="shared" si="19"/>
        <v>0</v>
      </c>
      <c r="N209" s="732"/>
      <c r="O209" s="727">
        <f t="shared" si="20"/>
        <v>0</v>
      </c>
      <c r="P209" s="727">
        <f t="shared" si="21"/>
        <v>0</v>
      </c>
      <c r="Q209" s="675"/>
    </row>
    <row r="210" spans="2:17">
      <c r="B210" s="332"/>
      <c r="C210" s="723">
        <f>IF(D182="","-",+C209+1)</f>
        <v>2033</v>
      </c>
      <c r="D210" s="674">
        <f t="shared" si="22"/>
        <v>1345809.1467391299</v>
      </c>
      <c r="E210" s="730">
        <f t="shared" si="23"/>
        <v>53832.365869565219</v>
      </c>
      <c r="F210" s="730">
        <f t="shared" si="16"/>
        <v>1291976.7808695647</v>
      </c>
      <c r="G210" s="674">
        <f t="shared" si="17"/>
        <v>1318892.9638043474</v>
      </c>
      <c r="H210" s="724">
        <f>+J183*G210+E210</f>
        <v>186992.33787600388</v>
      </c>
      <c r="I210" s="731">
        <f>+J184*G210+E210</f>
        <v>186992.33787600388</v>
      </c>
      <c r="J210" s="727">
        <f t="shared" si="18"/>
        <v>0</v>
      </c>
      <c r="K210" s="727"/>
      <c r="L210" s="732"/>
      <c r="M210" s="727">
        <f t="shared" si="19"/>
        <v>0</v>
      </c>
      <c r="N210" s="732"/>
      <c r="O210" s="727">
        <f t="shared" si="20"/>
        <v>0</v>
      </c>
      <c r="P210" s="727">
        <f t="shared" si="21"/>
        <v>0</v>
      </c>
      <c r="Q210" s="675"/>
    </row>
    <row r="211" spans="2:17">
      <c r="B211" s="332"/>
      <c r="C211" s="723">
        <f>IF(D182="","-",+C210+1)</f>
        <v>2034</v>
      </c>
      <c r="D211" s="674">
        <f t="shared" si="22"/>
        <v>1291976.7808695647</v>
      </c>
      <c r="E211" s="730">
        <f t="shared" si="23"/>
        <v>53832.365869565219</v>
      </c>
      <c r="F211" s="730">
        <f t="shared" si="16"/>
        <v>1238144.4149999996</v>
      </c>
      <c r="G211" s="674">
        <f t="shared" si="17"/>
        <v>1265060.597934782</v>
      </c>
      <c r="H211" s="724">
        <f>+J183*G211+E211</f>
        <v>181557.23697778187</v>
      </c>
      <c r="I211" s="731">
        <f>+J184*G211+E211</f>
        <v>181557.23697778187</v>
      </c>
      <c r="J211" s="727">
        <f t="shared" si="18"/>
        <v>0</v>
      </c>
      <c r="K211" s="727"/>
      <c r="L211" s="732"/>
      <c r="M211" s="727">
        <f t="shared" si="19"/>
        <v>0</v>
      </c>
      <c r="N211" s="732"/>
      <c r="O211" s="727">
        <f t="shared" si="20"/>
        <v>0</v>
      </c>
      <c r="P211" s="727">
        <f t="shared" si="21"/>
        <v>0</v>
      </c>
      <c r="Q211" s="675"/>
    </row>
    <row r="212" spans="2:17">
      <c r="B212" s="332"/>
      <c r="C212" s="723">
        <f>IF(D182="","-",+C211+1)</f>
        <v>2035</v>
      </c>
      <c r="D212" s="674">
        <f t="shared" si="22"/>
        <v>1238144.4149999996</v>
      </c>
      <c r="E212" s="730">
        <f t="shared" si="23"/>
        <v>53832.365869565219</v>
      </c>
      <c r="F212" s="730">
        <f t="shared" si="16"/>
        <v>1184312.0491304344</v>
      </c>
      <c r="G212" s="674">
        <f t="shared" si="17"/>
        <v>1211228.2320652171</v>
      </c>
      <c r="H212" s="724">
        <f>+J183*G212+E212</f>
        <v>176122.13607955992</v>
      </c>
      <c r="I212" s="731">
        <f>+J184*G212+E212</f>
        <v>176122.13607955992</v>
      </c>
      <c r="J212" s="727">
        <f t="shared" si="18"/>
        <v>0</v>
      </c>
      <c r="K212" s="727"/>
      <c r="L212" s="732"/>
      <c r="M212" s="727">
        <f t="shared" si="19"/>
        <v>0</v>
      </c>
      <c r="N212" s="732"/>
      <c r="O212" s="727">
        <f t="shared" si="20"/>
        <v>0</v>
      </c>
      <c r="P212" s="727">
        <f t="shared" si="21"/>
        <v>0</v>
      </c>
      <c r="Q212" s="675"/>
    </row>
    <row r="213" spans="2:17">
      <c r="B213" s="332"/>
      <c r="C213" s="723">
        <f>IF(D182="","-",+C212+1)</f>
        <v>2036</v>
      </c>
      <c r="D213" s="674">
        <f t="shared" si="22"/>
        <v>1184312.0491304344</v>
      </c>
      <c r="E213" s="730">
        <f t="shared" si="23"/>
        <v>53832.365869565219</v>
      </c>
      <c r="F213" s="730">
        <f t="shared" si="16"/>
        <v>1130479.6832608692</v>
      </c>
      <c r="G213" s="674">
        <f t="shared" si="17"/>
        <v>1157395.8661956517</v>
      </c>
      <c r="H213" s="724">
        <f>+J183*G213+E213</f>
        <v>170687.03518133791</v>
      </c>
      <c r="I213" s="731">
        <f>+J184*G213+E213</f>
        <v>170687.03518133791</v>
      </c>
      <c r="J213" s="727">
        <f t="shared" si="18"/>
        <v>0</v>
      </c>
      <c r="K213" s="727"/>
      <c r="L213" s="732"/>
      <c r="M213" s="727">
        <f t="shared" si="19"/>
        <v>0</v>
      </c>
      <c r="N213" s="732"/>
      <c r="O213" s="727">
        <f t="shared" si="20"/>
        <v>0</v>
      </c>
      <c r="P213" s="727">
        <f t="shared" si="21"/>
        <v>0</v>
      </c>
      <c r="Q213" s="675"/>
    </row>
    <row r="214" spans="2:17">
      <c r="B214" s="332"/>
      <c r="C214" s="723">
        <f>IF(D182="","-",+C213+1)</f>
        <v>2037</v>
      </c>
      <c r="D214" s="674">
        <f t="shared" si="22"/>
        <v>1130479.6832608692</v>
      </c>
      <c r="E214" s="730">
        <f t="shared" si="23"/>
        <v>53832.365869565219</v>
      </c>
      <c r="F214" s="730">
        <f t="shared" si="16"/>
        <v>1076647.3173913041</v>
      </c>
      <c r="G214" s="674">
        <f t="shared" si="17"/>
        <v>1103563.5003260868</v>
      </c>
      <c r="H214" s="724">
        <f>+J183*G214+E214</f>
        <v>165251.93428311593</v>
      </c>
      <c r="I214" s="731">
        <f>+J184*G214+E214</f>
        <v>165251.93428311593</v>
      </c>
      <c r="J214" s="727">
        <f t="shared" si="18"/>
        <v>0</v>
      </c>
      <c r="K214" s="727"/>
      <c r="L214" s="732"/>
      <c r="M214" s="727">
        <f t="shared" si="19"/>
        <v>0</v>
      </c>
      <c r="N214" s="732"/>
      <c r="O214" s="727">
        <f t="shared" si="20"/>
        <v>0</v>
      </c>
      <c r="P214" s="727">
        <f t="shared" si="21"/>
        <v>0</v>
      </c>
      <c r="Q214" s="675"/>
    </row>
    <row r="215" spans="2:17">
      <c r="B215" s="332"/>
      <c r="C215" s="723">
        <f>IF(D182="","-",+C214+1)</f>
        <v>2038</v>
      </c>
      <c r="D215" s="674">
        <f t="shared" si="22"/>
        <v>1076647.3173913041</v>
      </c>
      <c r="E215" s="730">
        <f t="shared" si="23"/>
        <v>53832.365869565219</v>
      </c>
      <c r="F215" s="730">
        <f t="shared" si="16"/>
        <v>1022814.9515217389</v>
      </c>
      <c r="G215" s="674">
        <f t="shared" si="17"/>
        <v>1049731.1344565214</v>
      </c>
      <c r="H215" s="724">
        <f>+J183*G215+E215</f>
        <v>159816.83338489395</v>
      </c>
      <c r="I215" s="731">
        <f>+J184*G215+E215</f>
        <v>159816.83338489395</v>
      </c>
      <c r="J215" s="727">
        <f t="shared" si="18"/>
        <v>0</v>
      </c>
      <c r="K215" s="727"/>
      <c r="L215" s="732"/>
      <c r="M215" s="727">
        <f t="shared" si="19"/>
        <v>0</v>
      </c>
      <c r="N215" s="732"/>
      <c r="O215" s="727">
        <f t="shared" si="20"/>
        <v>0</v>
      </c>
      <c r="P215" s="727">
        <f t="shared" si="21"/>
        <v>0</v>
      </c>
      <c r="Q215" s="675"/>
    </row>
    <row r="216" spans="2:17">
      <c r="B216" s="332"/>
      <c r="C216" s="723">
        <f>IF(D182="","-",+C215+1)</f>
        <v>2039</v>
      </c>
      <c r="D216" s="674">
        <f t="shared" si="22"/>
        <v>1022814.9515217389</v>
      </c>
      <c r="E216" s="730">
        <f t="shared" si="23"/>
        <v>53832.365869565219</v>
      </c>
      <c r="F216" s="730">
        <f t="shared" si="16"/>
        <v>968982.58565217373</v>
      </c>
      <c r="G216" s="674">
        <f t="shared" si="17"/>
        <v>995898.76858695631</v>
      </c>
      <c r="H216" s="724">
        <f>+J183*G216+E216</f>
        <v>154381.73248667197</v>
      </c>
      <c r="I216" s="731">
        <f>+J184*G216+E216</f>
        <v>154381.73248667197</v>
      </c>
      <c r="J216" s="727">
        <f t="shared" si="18"/>
        <v>0</v>
      </c>
      <c r="K216" s="727"/>
      <c r="L216" s="732"/>
      <c r="M216" s="727">
        <f t="shared" si="19"/>
        <v>0</v>
      </c>
      <c r="N216" s="732"/>
      <c r="O216" s="727">
        <f t="shared" si="20"/>
        <v>0</v>
      </c>
      <c r="P216" s="727">
        <f t="shared" si="21"/>
        <v>0</v>
      </c>
      <c r="Q216" s="675"/>
    </row>
    <row r="217" spans="2:17">
      <c r="B217" s="332"/>
      <c r="C217" s="723">
        <f>IF(D182="","-",+C216+1)</f>
        <v>2040</v>
      </c>
      <c r="D217" s="674">
        <f t="shared" si="22"/>
        <v>968982.58565217373</v>
      </c>
      <c r="E217" s="730">
        <f t="shared" si="23"/>
        <v>53832.365869565219</v>
      </c>
      <c r="F217" s="730">
        <f t="shared" si="16"/>
        <v>915150.21978260856</v>
      </c>
      <c r="G217" s="674">
        <f t="shared" si="17"/>
        <v>942066.40271739115</v>
      </c>
      <c r="H217" s="724">
        <f>+J183*G217+E217</f>
        <v>148946.63158844999</v>
      </c>
      <c r="I217" s="731">
        <f>+J184*G217+E217</f>
        <v>148946.63158844999</v>
      </c>
      <c r="J217" s="727">
        <f t="shared" si="18"/>
        <v>0</v>
      </c>
      <c r="K217" s="727"/>
      <c r="L217" s="732"/>
      <c r="M217" s="727">
        <f t="shared" si="19"/>
        <v>0</v>
      </c>
      <c r="N217" s="732"/>
      <c r="O217" s="727">
        <f t="shared" si="20"/>
        <v>0</v>
      </c>
      <c r="P217" s="727">
        <f t="shared" si="21"/>
        <v>0</v>
      </c>
      <c r="Q217" s="675"/>
    </row>
    <row r="218" spans="2:17">
      <c r="B218" s="332"/>
      <c r="C218" s="723">
        <f>IF(D182="","-",+C217+1)</f>
        <v>2041</v>
      </c>
      <c r="D218" s="674">
        <f t="shared" si="22"/>
        <v>915150.21978260856</v>
      </c>
      <c r="E218" s="730">
        <f t="shared" si="23"/>
        <v>53832.365869565219</v>
      </c>
      <c r="F218" s="730">
        <f t="shared" si="16"/>
        <v>861317.85391304339</v>
      </c>
      <c r="G218" s="674">
        <f t="shared" si="17"/>
        <v>888234.03684782598</v>
      </c>
      <c r="H218" s="724">
        <f>+J183*G218+E218</f>
        <v>143511.53069022801</v>
      </c>
      <c r="I218" s="731">
        <f>+J184*G218+E218</f>
        <v>143511.53069022801</v>
      </c>
      <c r="J218" s="727">
        <f t="shared" si="18"/>
        <v>0</v>
      </c>
      <c r="K218" s="727"/>
      <c r="L218" s="732"/>
      <c r="M218" s="727">
        <f t="shared" si="19"/>
        <v>0</v>
      </c>
      <c r="N218" s="732"/>
      <c r="O218" s="727">
        <f t="shared" si="20"/>
        <v>0</v>
      </c>
      <c r="P218" s="727">
        <f t="shared" si="21"/>
        <v>0</v>
      </c>
      <c r="Q218" s="675"/>
    </row>
    <row r="219" spans="2:17">
      <c r="B219" s="332"/>
      <c r="C219" s="723">
        <f>IF(D182="","-",+C218+1)</f>
        <v>2042</v>
      </c>
      <c r="D219" s="674">
        <f t="shared" si="22"/>
        <v>861317.85391304339</v>
      </c>
      <c r="E219" s="730">
        <f t="shared" si="23"/>
        <v>53832.365869565219</v>
      </c>
      <c r="F219" s="730">
        <f t="shared" si="16"/>
        <v>807485.48804347822</v>
      </c>
      <c r="G219" s="674">
        <f t="shared" si="17"/>
        <v>834401.67097826081</v>
      </c>
      <c r="H219" s="724">
        <f>+J183*G219+E219</f>
        <v>138076.42979200601</v>
      </c>
      <c r="I219" s="731">
        <f>+J184*G219+E219</f>
        <v>138076.42979200601</v>
      </c>
      <c r="J219" s="727">
        <f t="shared" si="18"/>
        <v>0</v>
      </c>
      <c r="K219" s="727"/>
      <c r="L219" s="732"/>
      <c r="M219" s="727">
        <f t="shared" si="19"/>
        <v>0</v>
      </c>
      <c r="N219" s="732"/>
      <c r="O219" s="727">
        <f t="shared" si="20"/>
        <v>0</v>
      </c>
      <c r="P219" s="727">
        <f t="shared" si="21"/>
        <v>0</v>
      </c>
      <c r="Q219" s="675"/>
    </row>
    <row r="220" spans="2:17">
      <c r="B220" s="332"/>
      <c r="C220" s="723">
        <f>IF(D182="","-",+C219+1)</f>
        <v>2043</v>
      </c>
      <c r="D220" s="674">
        <f t="shared" si="22"/>
        <v>807485.48804347822</v>
      </c>
      <c r="E220" s="730">
        <f t="shared" si="23"/>
        <v>53832.365869565219</v>
      </c>
      <c r="F220" s="730">
        <f t="shared" si="16"/>
        <v>753653.12217391306</v>
      </c>
      <c r="G220" s="674">
        <f t="shared" si="17"/>
        <v>780569.30510869564</v>
      </c>
      <c r="H220" s="724">
        <f>+J183*G220+E220</f>
        <v>132641.32889378403</v>
      </c>
      <c r="I220" s="731">
        <f>+J184*G220+E220</f>
        <v>132641.32889378403</v>
      </c>
      <c r="J220" s="727">
        <f t="shared" si="18"/>
        <v>0</v>
      </c>
      <c r="K220" s="727"/>
      <c r="L220" s="732"/>
      <c r="M220" s="727">
        <f t="shared" si="19"/>
        <v>0</v>
      </c>
      <c r="N220" s="732"/>
      <c r="O220" s="727">
        <f t="shared" si="20"/>
        <v>0</v>
      </c>
      <c r="P220" s="727">
        <f t="shared" si="21"/>
        <v>0</v>
      </c>
      <c r="Q220" s="675"/>
    </row>
    <row r="221" spans="2:17">
      <c r="B221" s="332"/>
      <c r="C221" s="723">
        <f>IF(D182="","-",+C220+1)</f>
        <v>2044</v>
      </c>
      <c r="D221" s="674">
        <f t="shared" si="22"/>
        <v>753653.12217391306</v>
      </c>
      <c r="E221" s="730">
        <f t="shared" si="23"/>
        <v>53832.365869565219</v>
      </c>
      <c r="F221" s="730">
        <f t="shared" si="16"/>
        <v>699820.75630434789</v>
      </c>
      <c r="G221" s="674">
        <f t="shared" si="17"/>
        <v>726736.93923913047</v>
      </c>
      <c r="H221" s="724">
        <f>+J183*G221+E221</f>
        <v>127206.22799556205</v>
      </c>
      <c r="I221" s="731">
        <f>+J184*G221+E221</f>
        <v>127206.22799556205</v>
      </c>
      <c r="J221" s="727">
        <f t="shared" si="18"/>
        <v>0</v>
      </c>
      <c r="K221" s="727"/>
      <c r="L221" s="732"/>
      <c r="M221" s="727">
        <f t="shared" si="19"/>
        <v>0</v>
      </c>
      <c r="N221" s="732"/>
      <c r="O221" s="727">
        <f t="shared" si="20"/>
        <v>0</v>
      </c>
      <c r="P221" s="727">
        <f t="shared" si="21"/>
        <v>0</v>
      </c>
      <c r="Q221" s="675"/>
    </row>
    <row r="222" spans="2:17">
      <c r="B222" s="332"/>
      <c r="C222" s="723">
        <f>IF(D182="","-",+C221+1)</f>
        <v>2045</v>
      </c>
      <c r="D222" s="674">
        <f t="shared" si="22"/>
        <v>699820.75630434789</v>
      </c>
      <c r="E222" s="730">
        <f t="shared" si="23"/>
        <v>53832.365869565219</v>
      </c>
      <c r="F222" s="730">
        <f t="shared" si="16"/>
        <v>645988.39043478272</v>
      </c>
      <c r="G222" s="674">
        <f t="shared" si="17"/>
        <v>672904.5733695653</v>
      </c>
      <c r="H222" s="724">
        <f>+J183*G222+E222</f>
        <v>121771.12709734007</v>
      </c>
      <c r="I222" s="731">
        <f>+J184*G222+E222</f>
        <v>121771.12709734007</v>
      </c>
      <c r="J222" s="727">
        <f t="shared" si="18"/>
        <v>0</v>
      </c>
      <c r="K222" s="727"/>
      <c r="L222" s="732"/>
      <c r="M222" s="727">
        <f t="shared" si="19"/>
        <v>0</v>
      </c>
      <c r="N222" s="732"/>
      <c r="O222" s="727">
        <f t="shared" si="20"/>
        <v>0</v>
      </c>
      <c r="P222" s="727">
        <f t="shared" si="21"/>
        <v>0</v>
      </c>
      <c r="Q222" s="675"/>
    </row>
    <row r="223" spans="2:17">
      <c r="B223" s="332"/>
      <c r="C223" s="723">
        <f>IF(D182="","-",+C222+1)</f>
        <v>2046</v>
      </c>
      <c r="D223" s="674">
        <f t="shared" si="22"/>
        <v>645988.39043478272</v>
      </c>
      <c r="E223" s="730">
        <f t="shared" si="23"/>
        <v>53832.365869565219</v>
      </c>
      <c r="F223" s="730">
        <f t="shared" si="16"/>
        <v>592156.02456521755</v>
      </c>
      <c r="G223" s="674">
        <f t="shared" si="17"/>
        <v>619072.20750000014</v>
      </c>
      <c r="H223" s="724">
        <f>+J183*G223+E223</f>
        <v>116336.02619911809</v>
      </c>
      <c r="I223" s="731">
        <f>+J184*G223+E223</f>
        <v>116336.02619911809</v>
      </c>
      <c r="J223" s="727">
        <f t="shared" si="18"/>
        <v>0</v>
      </c>
      <c r="K223" s="727"/>
      <c r="L223" s="732"/>
      <c r="M223" s="727">
        <f t="shared" si="19"/>
        <v>0</v>
      </c>
      <c r="N223" s="732"/>
      <c r="O223" s="727">
        <f t="shared" si="20"/>
        <v>0</v>
      </c>
      <c r="P223" s="727">
        <f t="shared" si="21"/>
        <v>0</v>
      </c>
      <c r="Q223" s="675"/>
    </row>
    <row r="224" spans="2:17">
      <c r="B224" s="332"/>
      <c r="C224" s="723">
        <f>IF(D182="","-",+C223+1)</f>
        <v>2047</v>
      </c>
      <c r="D224" s="674">
        <f t="shared" si="22"/>
        <v>592156.02456521755</v>
      </c>
      <c r="E224" s="730">
        <f t="shared" si="23"/>
        <v>53832.365869565219</v>
      </c>
      <c r="F224" s="730">
        <f t="shared" si="16"/>
        <v>538323.65869565238</v>
      </c>
      <c r="G224" s="674">
        <f t="shared" si="17"/>
        <v>565239.84163043497</v>
      </c>
      <c r="H224" s="724">
        <f>+J183*G224+E224</f>
        <v>110900.92530089611</v>
      </c>
      <c r="I224" s="731">
        <f>+J184*G224+E224</f>
        <v>110900.92530089611</v>
      </c>
      <c r="J224" s="727">
        <f t="shared" si="18"/>
        <v>0</v>
      </c>
      <c r="K224" s="727"/>
      <c r="L224" s="732"/>
      <c r="M224" s="727">
        <f t="shared" si="19"/>
        <v>0</v>
      </c>
      <c r="N224" s="732"/>
      <c r="O224" s="727">
        <f t="shared" si="20"/>
        <v>0</v>
      </c>
      <c r="P224" s="727">
        <f t="shared" si="21"/>
        <v>0</v>
      </c>
      <c r="Q224" s="675"/>
    </row>
    <row r="225" spans="2:17">
      <c r="B225" s="332"/>
      <c r="C225" s="723">
        <f>IF(D182="","-",+C224+1)</f>
        <v>2048</v>
      </c>
      <c r="D225" s="674">
        <f t="shared" si="22"/>
        <v>538323.65869565238</v>
      </c>
      <c r="E225" s="730">
        <f t="shared" si="23"/>
        <v>53832.365869565219</v>
      </c>
      <c r="F225" s="730">
        <f t="shared" si="16"/>
        <v>484491.29282608716</v>
      </c>
      <c r="G225" s="674">
        <f t="shared" si="17"/>
        <v>511407.4757608698</v>
      </c>
      <c r="H225" s="724">
        <f>+J183*G225+E225</f>
        <v>105465.82440267413</v>
      </c>
      <c r="I225" s="731">
        <f>+J184*G225+E225</f>
        <v>105465.82440267413</v>
      </c>
      <c r="J225" s="727">
        <f t="shared" si="18"/>
        <v>0</v>
      </c>
      <c r="K225" s="727"/>
      <c r="L225" s="732"/>
      <c r="M225" s="727">
        <f t="shared" si="19"/>
        <v>0</v>
      </c>
      <c r="N225" s="732"/>
      <c r="O225" s="727">
        <f t="shared" si="20"/>
        <v>0</v>
      </c>
      <c r="P225" s="727">
        <f t="shared" si="21"/>
        <v>0</v>
      </c>
      <c r="Q225" s="675"/>
    </row>
    <row r="226" spans="2:17">
      <c r="B226" s="332"/>
      <c r="C226" s="723">
        <f>IF(D182="","-",+C225+1)</f>
        <v>2049</v>
      </c>
      <c r="D226" s="674">
        <f t="shared" si="22"/>
        <v>484491.29282608716</v>
      </c>
      <c r="E226" s="730">
        <f t="shared" si="23"/>
        <v>53832.365869565219</v>
      </c>
      <c r="F226" s="730">
        <f t="shared" si="16"/>
        <v>430658.92695652193</v>
      </c>
      <c r="G226" s="674">
        <f t="shared" si="17"/>
        <v>457575.10989130451</v>
      </c>
      <c r="H226" s="724">
        <f>+J183*G226+E226</f>
        <v>100030.72350445212</v>
      </c>
      <c r="I226" s="731">
        <f>+J184*G226+E226</f>
        <v>100030.72350445212</v>
      </c>
      <c r="J226" s="727">
        <f t="shared" si="18"/>
        <v>0</v>
      </c>
      <c r="K226" s="727"/>
      <c r="L226" s="732"/>
      <c r="M226" s="727">
        <f t="shared" si="19"/>
        <v>0</v>
      </c>
      <c r="N226" s="732"/>
      <c r="O226" s="727">
        <f t="shared" si="20"/>
        <v>0</v>
      </c>
      <c r="P226" s="727">
        <f t="shared" si="21"/>
        <v>0</v>
      </c>
      <c r="Q226" s="675"/>
    </row>
    <row r="227" spans="2:17">
      <c r="B227" s="332"/>
      <c r="C227" s="723">
        <f>IF(D182="","-",+C226+1)</f>
        <v>2050</v>
      </c>
      <c r="D227" s="674">
        <f t="shared" si="22"/>
        <v>430658.92695652193</v>
      </c>
      <c r="E227" s="730">
        <f t="shared" si="23"/>
        <v>53832.365869565219</v>
      </c>
      <c r="F227" s="730">
        <f t="shared" si="16"/>
        <v>376826.5610869567</v>
      </c>
      <c r="G227" s="674">
        <f t="shared" si="17"/>
        <v>403742.74402173935</v>
      </c>
      <c r="H227" s="724">
        <f>+J183*G227+E227</f>
        <v>94595.622606230143</v>
      </c>
      <c r="I227" s="731">
        <f>+J184*G227+E227</f>
        <v>94595.622606230143</v>
      </c>
      <c r="J227" s="727">
        <f t="shared" si="18"/>
        <v>0</v>
      </c>
      <c r="K227" s="727"/>
      <c r="L227" s="732"/>
      <c r="M227" s="727">
        <f t="shared" si="19"/>
        <v>0</v>
      </c>
      <c r="N227" s="732"/>
      <c r="O227" s="727">
        <f t="shared" si="20"/>
        <v>0</v>
      </c>
      <c r="P227" s="727">
        <f t="shared" si="21"/>
        <v>0</v>
      </c>
      <c r="Q227" s="675"/>
    </row>
    <row r="228" spans="2:17">
      <c r="B228" s="332"/>
      <c r="C228" s="723">
        <f>IF(D182="","-",+C227+1)</f>
        <v>2051</v>
      </c>
      <c r="D228" s="674">
        <f t="shared" si="22"/>
        <v>376826.5610869567</v>
      </c>
      <c r="E228" s="730">
        <f t="shared" si="23"/>
        <v>53832.365869565219</v>
      </c>
      <c r="F228" s="730">
        <f t="shared" si="16"/>
        <v>322994.19521739148</v>
      </c>
      <c r="G228" s="674">
        <f t="shared" si="17"/>
        <v>349910.37815217406</v>
      </c>
      <c r="H228" s="724">
        <f>+J183*G228+E228</f>
        <v>89160.521708008149</v>
      </c>
      <c r="I228" s="731">
        <f>+J184*G228+E228</f>
        <v>89160.521708008149</v>
      </c>
      <c r="J228" s="727">
        <f t="shared" si="18"/>
        <v>0</v>
      </c>
      <c r="K228" s="727"/>
      <c r="L228" s="732"/>
      <c r="M228" s="727">
        <f t="shared" si="19"/>
        <v>0</v>
      </c>
      <c r="N228" s="732"/>
      <c r="O228" s="727">
        <f t="shared" si="20"/>
        <v>0</v>
      </c>
      <c r="P228" s="727">
        <f t="shared" si="21"/>
        <v>0</v>
      </c>
      <c r="Q228" s="675"/>
    </row>
    <row r="229" spans="2:17">
      <c r="B229" s="332"/>
      <c r="C229" s="723">
        <f>IF(D182="","-",+C228+1)</f>
        <v>2052</v>
      </c>
      <c r="D229" s="674">
        <f t="shared" si="22"/>
        <v>322994.19521739148</v>
      </c>
      <c r="E229" s="730">
        <f t="shared" si="23"/>
        <v>53832.365869565219</v>
      </c>
      <c r="F229" s="730">
        <f t="shared" si="16"/>
        <v>269161.82934782625</v>
      </c>
      <c r="G229" s="674">
        <f t="shared" si="17"/>
        <v>296078.01228260889</v>
      </c>
      <c r="H229" s="724">
        <f>+J183*G229+E229</f>
        <v>83725.42080978617</v>
      </c>
      <c r="I229" s="731">
        <f>+J184*G229+E229</f>
        <v>83725.42080978617</v>
      </c>
      <c r="J229" s="727">
        <f t="shared" si="18"/>
        <v>0</v>
      </c>
      <c r="K229" s="727"/>
      <c r="L229" s="732"/>
      <c r="M229" s="727">
        <f t="shared" si="19"/>
        <v>0</v>
      </c>
      <c r="N229" s="732"/>
      <c r="O229" s="727">
        <f t="shared" si="20"/>
        <v>0</v>
      </c>
      <c r="P229" s="727">
        <f t="shared" si="21"/>
        <v>0</v>
      </c>
      <c r="Q229" s="675"/>
    </row>
    <row r="230" spans="2:17">
      <c r="B230" s="332"/>
      <c r="C230" s="723">
        <f>IF(D182="","-",+C229+1)</f>
        <v>2053</v>
      </c>
      <c r="D230" s="674">
        <f t="shared" si="22"/>
        <v>269161.82934782625</v>
      </c>
      <c r="E230" s="730">
        <f t="shared" si="23"/>
        <v>53832.365869565219</v>
      </c>
      <c r="F230" s="730">
        <f t="shared" si="16"/>
        <v>215329.46347826102</v>
      </c>
      <c r="G230" s="674">
        <f t="shared" si="17"/>
        <v>242245.64641304364</v>
      </c>
      <c r="H230" s="724">
        <f>+J183*G230+E230</f>
        <v>78290.319911564176</v>
      </c>
      <c r="I230" s="731">
        <f>+J184*G230+E230</f>
        <v>78290.319911564176</v>
      </c>
      <c r="J230" s="727">
        <f t="shared" si="18"/>
        <v>0</v>
      </c>
      <c r="K230" s="727"/>
      <c r="L230" s="732"/>
      <c r="M230" s="727">
        <f t="shared" si="19"/>
        <v>0</v>
      </c>
      <c r="N230" s="732"/>
      <c r="O230" s="727">
        <f t="shared" si="20"/>
        <v>0</v>
      </c>
      <c r="P230" s="727">
        <f t="shared" si="21"/>
        <v>0</v>
      </c>
      <c r="Q230" s="675"/>
    </row>
    <row r="231" spans="2:17">
      <c r="B231" s="332"/>
      <c r="C231" s="723">
        <f>IF(D182="","-",+C230+1)</f>
        <v>2054</v>
      </c>
      <c r="D231" s="674">
        <f t="shared" si="22"/>
        <v>215329.46347826102</v>
      </c>
      <c r="E231" s="730">
        <f t="shared" si="23"/>
        <v>53832.365869565219</v>
      </c>
      <c r="F231" s="730">
        <f t="shared" si="16"/>
        <v>161497.0976086958</v>
      </c>
      <c r="G231" s="674">
        <f t="shared" si="17"/>
        <v>188413.28054347841</v>
      </c>
      <c r="H231" s="724">
        <f>+J183*G231+E231</f>
        <v>72855.219013342197</v>
      </c>
      <c r="I231" s="731">
        <f>+J184*G231+E231</f>
        <v>72855.219013342197</v>
      </c>
      <c r="J231" s="727">
        <f t="shared" si="18"/>
        <v>0</v>
      </c>
      <c r="K231" s="727"/>
      <c r="L231" s="732"/>
      <c r="M231" s="727">
        <f t="shared" si="19"/>
        <v>0</v>
      </c>
      <c r="N231" s="732"/>
      <c r="O231" s="727">
        <f t="shared" si="20"/>
        <v>0</v>
      </c>
      <c r="P231" s="727">
        <f t="shared" si="21"/>
        <v>0</v>
      </c>
      <c r="Q231" s="675"/>
    </row>
    <row r="232" spans="2:17">
      <c r="B232" s="332"/>
      <c r="C232" s="723">
        <f>IF(D182="","-",+C231+1)</f>
        <v>2055</v>
      </c>
      <c r="D232" s="674">
        <f t="shared" si="22"/>
        <v>161497.0976086958</v>
      </c>
      <c r="E232" s="730">
        <f t="shared" si="23"/>
        <v>53832.365869565219</v>
      </c>
      <c r="F232" s="730">
        <f t="shared" si="16"/>
        <v>107664.73173913057</v>
      </c>
      <c r="G232" s="674">
        <f t="shared" si="17"/>
        <v>134580.91467391318</v>
      </c>
      <c r="H232" s="724">
        <f>+J183*G232+E232</f>
        <v>67420.118115120204</v>
      </c>
      <c r="I232" s="731">
        <f>+J184*G232+E232</f>
        <v>67420.118115120204</v>
      </c>
      <c r="J232" s="727">
        <f t="shared" si="18"/>
        <v>0</v>
      </c>
      <c r="K232" s="727"/>
      <c r="L232" s="732"/>
      <c r="M232" s="727">
        <f t="shared" si="19"/>
        <v>0</v>
      </c>
      <c r="N232" s="732"/>
      <c r="O232" s="727">
        <f t="shared" si="20"/>
        <v>0</v>
      </c>
      <c r="P232" s="727">
        <f t="shared" si="21"/>
        <v>0</v>
      </c>
      <c r="Q232" s="675"/>
    </row>
    <row r="233" spans="2:17">
      <c r="B233" s="332"/>
      <c r="C233" s="723">
        <f>IF(D182="","-",+C232+1)</f>
        <v>2056</v>
      </c>
      <c r="D233" s="674">
        <f t="shared" si="22"/>
        <v>107664.73173913057</v>
      </c>
      <c r="E233" s="730">
        <f t="shared" si="23"/>
        <v>53832.365869565219</v>
      </c>
      <c r="F233" s="730">
        <f t="shared" si="16"/>
        <v>53832.36586956535</v>
      </c>
      <c r="G233" s="674">
        <f t="shared" si="17"/>
        <v>80748.548804347956</v>
      </c>
      <c r="H233" s="724">
        <f>+J183*G233+E233</f>
        <v>61985.01721689821</v>
      </c>
      <c r="I233" s="731">
        <f>+J184*G233+E233</f>
        <v>61985.01721689821</v>
      </c>
      <c r="J233" s="727">
        <f t="shared" si="18"/>
        <v>0</v>
      </c>
      <c r="K233" s="727"/>
      <c r="L233" s="732"/>
      <c r="M233" s="727">
        <f t="shared" si="19"/>
        <v>0</v>
      </c>
      <c r="N233" s="732"/>
      <c r="O233" s="727">
        <f t="shared" si="20"/>
        <v>0</v>
      </c>
      <c r="P233" s="727">
        <f t="shared" si="21"/>
        <v>0</v>
      </c>
      <c r="Q233" s="675"/>
    </row>
    <row r="234" spans="2:17">
      <c r="B234" s="332"/>
      <c r="C234" s="723">
        <f>IF(D182="","-",+C233+1)</f>
        <v>2057</v>
      </c>
      <c r="D234" s="674">
        <f t="shared" si="22"/>
        <v>53832.36586956535</v>
      </c>
      <c r="E234" s="730">
        <f t="shared" si="23"/>
        <v>53832.365869565219</v>
      </c>
      <c r="F234" s="730">
        <f t="shared" si="16"/>
        <v>1.3096723705530167E-10</v>
      </c>
      <c r="G234" s="674">
        <f t="shared" si="17"/>
        <v>26916.182934782741</v>
      </c>
      <c r="H234" s="724">
        <f>+J183*G234+E234</f>
        <v>56549.916318676223</v>
      </c>
      <c r="I234" s="731">
        <f>+J184*G234+E234</f>
        <v>56549.916318676223</v>
      </c>
      <c r="J234" s="727">
        <f t="shared" si="18"/>
        <v>0</v>
      </c>
      <c r="K234" s="727"/>
      <c r="L234" s="732"/>
      <c r="M234" s="727">
        <f t="shared" si="19"/>
        <v>0</v>
      </c>
      <c r="N234" s="732"/>
      <c r="O234" s="727">
        <f t="shared" si="20"/>
        <v>0</v>
      </c>
      <c r="P234" s="727">
        <f t="shared" si="21"/>
        <v>0</v>
      </c>
      <c r="Q234" s="675"/>
    </row>
    <row r="235" spans="2:17">
      <c r="B235" s="332"/>
      <c r="C235" s="723">
        <f>IF(D182="","-",+C234+1)</f>
        <v>2058</v>
      </c>
      <c r="D235" s="674">
        <f t="shared" si="22"/>
        <v>1.3096723705530167E-10</v>
      </c>
      <c r="E235" s="730">
        <f t="shared" si="23"/>
        <v>1.3096723705530167E-10</v>
      </c>
      <c r="F235" s="730">
        <f t="shared" si="16"/>
        <v>0</v>
      </c>
      <c r="G235" s="674">
        <f t="shared" si="17"/>
        <v>6.5483618527650833E-11</v>
      </c>
      <c r="H235" s="724">
        <f>+J183*G235+E235</f>
        <v>1.3757868851446332E-10</v>
      </c>
      <c r="I235" s="731">
        <f>+J184*G235+E235</f>
        <v>1.3757868851446332E-10</v>
      </c>
      <c r="J235" s="727">
        <f t="shared" si="18"/>
        <v>0</v>
      </c>
      <c r="K235" s="727"/>
      <c r="L235" s="732"/>
      <c r="M235" s="727">
        <f t="shared" si="19"/>
        <v>0</v>
      </c>
      <c r="N235" s="732"/>
      <c r="O235" s="727">
        <f t="shared" si="20"/>
        <v>0</v>
      </c>
      <c r="P235" s="727">
        <f t="shared" si="21"/>
        <v>0</v>
      </c>
      <c r="Q235" s="675"/>
    </row>
    <row r="236" spans="2:17">
      <c r="B236" s="332"/>
      <c r="C236" s="723">
        <f>IF(D182="","-",+C235+1)</f>
        <v>2059</v>
      </c>
      <c r="D236" s="674">
        <f t="shared" si="22"/>
        <v>0</v>
      </c>
      <c r="E236" s="730">
        <f t="shared" si="23"/>
        <v>0</v>
      </c>
      <c r="F236" s="730">
        <f t="shared" si="16"/>
        <v>0</v>
      </c>
      <c r="G236" s="674">
        <f t="shared" si="17"/>
        <v>0</v>
      </c>
      <c r="H236" s="724">
        <f>+J183*G236+E236</f>
        <v>0</v>
      </c>
      <c r="I236" s="731">
        <f>+J184*G236+E236</f>
        <v>0</v>
      </c>
      <c r="J236" s="727">
        <f t="shared" si="18"/>
        <v>0</v>
      </c>
      <c r="K236" s="727"/>
      <c r="L236" s="732"/>
      <c r="M236" s="727">
        <f t="shared" si="19"/>
        <v>0</v>
      </c>
      <c r="N236" s="732"/>
      <c r="O236" s="727">
        <f t="shared" si="20"/>
        <v>0</v>
      </c>
      <c r="P236" s="727">
        <f t="shared" si="21"/>
        <v>0</v>
      </c>
      <c r="Q236" s="675"/>
    </row>
    <row r="237" spans="2:17">
      <c r="B237" s="332"/>
      <c r="C237" s="723">
        <f>IF(D182="","-",+C236+1)</f>
        <v>2060</v>
      </c>
      <c r="D237" s="674">
        <f t="shared" si="22"/>
        <v>0</v>
      </c>
      <c r="E237" s="730">
        <f t="shared" si="23"/>
        <v>0</v>
      </c>
      <c r="F237" s="730">
        <f t="shared" si="16"/>
        <v>0</v>
      </c>
      <c r="G237" s="674">
        <f t="shared" si="17"/>
        <v>0</v>
      </c>
      <c r="H237" s="724">
        <f>+J183*G237+E237</f>
        <v>0</v>
      </c>
      <c r="I237" s="731">
        <f>+J184*G237+E237</f>
        <v>0</v>
      </c>
      <c r="J237" s="727">
        <f t="shared" si="18"/>
        <v>0</v>
      </c>
      <c r="K237" s="727"/>
      <c r="L237" s="732"/>
      <c r="M237" s="727">
        <f t="shared" si="19"/>
        <v>0</v>
      </c>
      <c r="N237" s="732"/>
      <c r="O237" s="727">
        <f t="shared" si="20"/>
        <v>0</v>
      </c>
      <c r="P237" s="727">
        <f t="shared" si="21"/>
        <v>0</v>
      </c>
      <c r="Q237" s="675"/>
    </row>
    <row r="238" spans="2:17">
      <c r="B238" s="332"/>
      <c r="C238" s="723">
        <f>IF(D182="","-",+C237+1)</f>
        <v>2061</v>
      </c>
      <c r="D238" s="674">
        <f t="shared" si="22"/>
        <v>0</v>
      </c>
      <c r="E238" s="730">
        <f t="shared" si="23"/>
        <v>0</v>
      </c>
      <c r="F238" s="730">
        <f t="shared" si="16"/>
        <v>0</v>
      </c>
      <c r="G238" s="674">
        <f t="shared" si="17"/>
        <v>0</v>
      </c>
      <c r="H238" s="724">
        <f>+J183*G238+E238</f>
        <v>0</v>
      </c>
      <c r="I238" s="731">
        <f>+J184*G238+E238</f>
        <v>0</v>
      </c>
      <c r="J238" s="727">
        <f t="shared" si="18"/>
        <v>0</v>
      </c>
      <c r="K238" s="727"/>
      <c r="L238" s="732"/>
      <c r="M238" s="727">
        <f t="shared" si="19"/>
        <v>0</v>
      </c>
      <c r="N238" s="732"/>
      <c r="O238" s="727">
        <f t="shared" si="20"/>
        <v>0</v>
      </c>
      <c r="P238" s="727">
        <f t="shared" si="21"/>
        <v>0</v>
      </c>
      <c r="Q238" s="675"/>
    </row>
    <row r="239" spans="2:17">
      <c r="B239" s="332"/>
      <c r="C239" s="723">
        <f>IF(D182="","-",+C238+1)</f>
        <v>2062</v>
      </c>
      <c r="D239" s="674">
        <f t="shared" si="22"/>
        <v>0</v>
      </c>
      <c r="E239" s="730">
        <f t="shared" si="23"/>
        <v>0</v>
      </c>
      <c r="F239" s="730">
        <f t="shared" si="16"/>
        <v>0</v>
      </c>
      <c r="G239" s="674">
        <f t="shared" si="17"/>
        <v>0</v>
      </c>
      <c r="H239" s="724">
        <f>+J183*G239+E239</f>
        <v>0</v>
      </c>
      <c r="I239" s="731">
        <f>+J184*G239+E239</f>
        <v>0</v>
      </c>
      <c r="J239" s="727">
        <f t="shared" si="18"/>
        <v>0</v>
      </c>
      <c r="K239" s="727"/>
      <c r="L239" s="732"/>
      <c r="M239" s="727">
        <f t="shared" si="19"/>
        <v>0</v>
      </c>
      <c r="N239" s="732"/>
      <c r="O239" s="727">
        <f t="shared" si="20"/>
        <v>0</v>
      </c>
      <c r="P239" s="727">
        <f t="shared" si="21"/>
        <v>0</v>
      </c>
      <c r="Q239" s="675"/>
    </row>
    <row r="240" spans="2:17">
      <c r="B240" s="332"/>
      <c r="C240" s="723">
        <f>IF(D182="","-",+C239+1)</f>
        <v>2063</v>
      </c>
      <c r="D240" s="674">
        <f t="shared" si="22"/>
        <v>0</v>
      </c>
      <c r="E240" s="730">
        <f t="shared" si="23"/>
        <v>0</v>
      </c>
      <c r="F240" s="730">
        <f t="shared" si="16"/>
        <v>0</v>
      </c>
      <c r="G240" s="674">
        <f t="shared" si="17"/>
        <v>0</v>
      </c>
      <c r="H240" s="724">
        <f>+J183*G240+E240</f>
        <v>0</v>
      </c>
      <c r="I240" s="731">
        <f>+J184*G240+E240</f>
        <v>0</v>
      </c>
      <c r="J240" s="727">
        <f t="shared" si="18"/>
        <v>0</v>
      </c>
      <c r="K240" s="727"/>
      <c r="L240" s="732"/>
      <c r="M240" s="727">
        <f t="shared" si="19"/>
        <v>0</v>
      </c>
      <c r="N240" s="732"/>
      <c r="O240" s="727">
        <f t="shared" si="20"/>
        <v>0</v>
      </c>
      <c r="P240" s="727">
        <f t="shared" si="21"/>
        <v>0</v>
      </c>
      <c r="Q240" s="675"/>
    </row>
    <row r="241" spans="1:17">
      <c r="B241" s="332"/>
      <c r="C241" s="723">
        <f>IF(D182="","-",+C240+1)</f>
        <v>2064</v>
      </c>
      <c r="D241" s="674">
        <f t="shared" si="22"/>
        <v>0</v>
      </c>
      <c r="E241" s="730">
        <f t="shared" si="23"/>
        <v>0</v>
      </c>
      <c r="F241" s="730">
        <f t="shared" si="16"/>
        <v>0</v>
      </c>
      <c r="G241" s="674">
        <f t="shared" si="17"/>
        <v>0</v>
      </c>
      <c r="H241" s="724">
        <f>+J183*G241+E241</f>
        <v>0</v>
      </c>
      <c r="I241" s="731">
        <f>+J184*G241+E241</f>
        <v>0</v>
      </c>
      <c r="J241" s="727">
        <f t="shared" si="18"/>
        <v>0</v>
      </c>
      <c r="K241" s="727"/>
      <c r="L241" s="732"/>
      <c r="M241" s="727">
        <f t="shared" si="19"/>
        <v>0</v>
      </c>
      <c r="N241" s="732"/>
      <c r="O241" s="727">
        <f t="shared" si="20"/>
        <v>0</v>
      </c>
      <c r="P241" s="727">
        <f t="shared" si="21"/>
        <v>0</v>
      </c>
      <c r="Q241" s="675"/>
    </row>
    <row r="242" spans="1:17">
      <c r="B242" s="332"/>
      <c r="C242" s="723">
        <f>IF(D182="","-",+C241+1)</f>
        <v>2065</v>
      </c>
      <c r="D242" s="674">
        <f t="shared" si="22"/>
        <v>0</v>
      </c>
      <c r="E242" s="730">
        <f t="shared" si="23"/>
        <v>0</v>
      </c>
      <c r="F242" s="730">
        <f t="shared" si="16"/>
        <v>0</v>
      </c>
      <c r="G242" s="674">
        <f t="shared" si="17"/>
        <v>0</v>
      </c>
      <c r="H242" s="724">
        <f>+J183*G242+E242</f>
        <v>0</v>
      </c>
      <c r="I242" s="731">
        <f>+J184*G242+E242</f>
        <v>0</v>
      </c>
      <c r="J242" s="727">
        <f t="shared" si="18"/>
        <v>0</v>
      </c>
      <c r="K242" s="727"/>
      <c r="L242" s="732"/>
      <c r="M242" s="727">
        <f t="shared" si="19"/>
        <v>0</v>
      </c>
      <c r="N242" s="732"/>
      <c r="O242" s="727">
        <f t="shared" si="20"/>
        <v>0</v>
      </c>
      <c r="P242" s="727">
        <f t="shared" si="21"/>
        <v>0</v>
      </c>
      <c r="Q242" s="675"/>
    </row>
    <row r="243" spans="1:17">
      <c r="B243" s="332"/>
      <c r="C243" s="723">
        <f>IF(D182="","-",+C242+1)</f>
        <v>2066</v>
      </c>
      <c r="D243" s="674">
        <f t="shared" si="22"/>
        <v>0</v>
      </c>
      <c r="E243" s="730">
        <f t="shared" si="23"/>
        <v>0</v>
      </c>
      <c r="F243" s="730">
        <f t="shared" si="16"/>
        <v>0</v>
      </c>
      <c r="G243" s="674">
        <f t="shared" si="17"/>
        <v>0</v>
      </c>
      <c r="H243" s="724">
        <f>+J183*G243+E243</f>
        <v>0</v>
      </c>
      <c r="I243" s="731">
        <f>+J184*G243+E243</f>
        <v>0</v>
      </c>
      <c r="J243" s="727">
        <f t="shared" si="18"/>
        <v>0</v>
      </c>
      <c r="K243" s="727"/>
      <c r="L243" s="732"/>
      <c r="M243" s="727">
        <f t="shared" si="19"/>
        <v>0</v>
      </c>
      <c r="N243" s="732"/>
      <c r="O243" s="727">
        <f t="shared" si="20"/>
        <v>0</v>
      </c>
      <c r="P243" s="727">
        <f t="shared" si="21"/>
        <v>0</v>
      </c>
      <c r="Q243" s="675"/>
    </row>
    <row r="244" spans="1:17">
      <c r="B244" s="332"/>
      <c r="C244" s="723">
        <f>IF(D182="","-",+C243+1)</f>
        <v>2067</v>
      </c>
      <c r="D244" s="674">
        <f t="shared" si="22"/>
        <v>0</v>
      </c>
      <c r="E244" s="730">
        <f t="shared" si="23"/>
        <v>0</v>
      </c>
      <c r="F244" s="730">
        <f t="shared" si="16"/>
        <v>0</v>
      </c>
      <c r="G244" s="674">
        <f t="shared" si="17"/>
        <v>0</v>
      </c>
      <c r="H244" s="724">
        <f>+J183*G244+E244</f>
        <v>0</v>
      </c>
      <c r="I244" s="731">
        <f>+J184*G244+E244</f>
        <v>0</v>
      </c>
      <c r="J244" s="727">
        <f t="shared" si="18"/>
        <v>0</v>
      </c>
      <c r="K244" s="727"/>
      <c r="L244" s="732"/>
      <c r="M244" s="727">
        <f t="shared" si="19"/>
        <v>0</v>
      </c>
      <c r="N244" s="732"/>
      <c r="O244" s="727">
        <f t="shared" si="20"/>
        <v>0</v>
      </c>
      <c r="P244" s="727">
        <f t="shared" si="21"/>
        <v>0</v>
      </c>
      <c r="Q244" s="675"/>
    </row>
    <row r="245" spans="1:17">
      <c r="B245" s="332"/>
      <c r="C245" s="723">
        <f>IF(D182="","-",+C244+1)</f>
        <v>2068</v>
      </c>
      <c r="D245" s="674">
        <f t="shared" si="22"/>
        <v>0</v>
      </c>
      <c r="E245" s="730">
        <f t="shared" si="23"/>
        <v>0</v>
      </c>
      <c r="F245" s="730">
        <f t="shared" si="16"/>
        <v>0</v>
      </c>
      <c r="G245" s="674">
        <f t="shared" si="17"/>
        <v>0</v>
      </c>
      <c r="H245" s="724">
        <f>+J183*G245+E245</f>
        <v>0</v>
      </c>
      <c r="I245" s="731">
        <f>+J184*G245+E245</f>
        <v>0</v>
      </c>
      <c r="J245" s="727">
        <f t="shared" si="18"/>
        <v>0</v>
      </c>
      <c r="K245" s="727"/>
      <c r="L245" s="732"/>
      <c r="M245" s="727">
        <f t="shared" si="19"/>
        <v>0</v>
      </c>
      <c r="N245" s="732"/>
      <c r="O245" s="727">
        <f t="shared" si="20"/>
        <v>0</v>
      </c>
      <c r="P245" s="727">
        <f t="shared" si="21"/>
        <v>0</v>
      </c>
      <c r="Q245" s="675"/>
    </row>
    <row r="246" spans="1:17">
      <c r="B246" s="332"/>
      <c r="C246" s="723">
        <f>IF(D182="","-",+C245+1)</f>
        <v>2069</v>
      </c>
      <c r="D246" s="674">
        <f t="shared" si="22"/>
        <v>0</v>
      </c>
      <c r="E246" s="730">
        <f t="shared" si="23"/>
        <v>0</v>
      </c>
      <c r="F246" s="730">
        <f t="shared" si="16"/>
        <v>0</v>
      </c>
      <c r="G246" s="674">
        <f t="shared" si="17"/>
        <v>0</v>
      </c>
      <c r="H246" s="724">
        <f>+J183*G246+E246</f>
        <v>0</v>
      </c>
      <c r="I246" s="731">
        <f>+J184*G246+E246</f>
        <v>0</v>
      </c>
      <c r="J246" s="727">
        <f t="shared" si="18"/>
        <v>0</v>
      </c>
      <c r="K246" s="727"/>
      <c r="L246" s="732"/>
      <c r="M246" s="727">
        <f t="shared" si="19"/>
        <v>0</v>
      </c>
      <c r="N246" s="732"/>
      <c r="O246" s="727">
        <f t="shared" si="20"/>
        <v>0</v>
      </c>
      <c r="P246" s="727">
        <f t="shared" si="21"/>
        <v>0</v>
      </c>
      <c r="Q246" s="675"/>
    </row>
    <row r="247" spans="1:17" ht="13.5" thickBot="1">
      <c r="B247" s="332"/>
      <c r="C247" s="735">
        <f>IF(D182="","-",+C246+1)</f>
        <v>2070</v>
      </c>
      <c r="D247" s="736">
        <f t="shared" si="22"/>
        <v>0</v>
      </c>
      <c r="E247" s="737">
        <f t="shared" si="23"/>
        <v>0</v>
      </c>
      <c r="F247" s="737">
        <f t="shared" si="16"/>
        <v>0</v>
      </c>
      <c r="G247" s="736">
        <f t="shared" si="17"/>
        <v>0</v>
      </c>
      <c r="H247" s="738">
        <f>+J183*G247+E247</f>
        <v>0</v>
      </c>
      <c r="I247" s="738">
        <f>+J184*G247+E247</f>
        <v>0</v>
      </c>
      <c r="J247" s="739">
        <f t="shared" si="18"/>
        <v>0</v>
      </c>
      <c r="K247" s="727"/>
      <c r="L247" s="740"/>
      <c r="M247" s="739">
        <f t="shared" si="19"/>
        <v>0</v>
      </c>
      <c r="N247" s="740"/>
      <c r="O247" s="739">
        <f t="shared" si="20"/>
        <v>0</v>
      </c>
      <c r="P247" s="739">
        <f t="shared" si="21"/>
        <v>0</v>
      </c>
      <c r="Q247" s="675"/>
    </row>
    <row r="248" spans="1:17">
      <c r="B248" s="332"/>
      <c r="C248" s="674" t="s">
        <v>288</v>
      </c>
      <c r="D248" s="670"/>
      <c r="E248" s="670">
        <f>SUM(E188:E247)</f>
        <v>2476288.83</v>
      </c>
      <c r="F248" s="670"/>
      <c r="G248" s="670"/>
      <c r="H248" s="670">
        <f>SUM(H188:H247)</f>
        <v>8476640.2216370702</v>
      </c>
      <c r="I248" s="670">
        <f>SUM(I188:I247)</f>
        <v>8476640.2216370702</v>
      </c>
      <c r="J248" s="670">
        <f>SUM(J188:J247)</f>
        <v>0</v>
      </c>
      <c r="K248" s="670"/>
      <c r="L248" s="670"/>
      <c r="M248" s="670"/>
      <c r="N248" s="670"/>
      <c r="O248" s="670"/>
      <c r="Q248" s="670"/>
    </row>
    <row r="249" spans="1:17">
      <c r="B249" s="332"/>
      <c r="D249" s="564"/>
      <c r="E249" s="541"/>
      <c r="F249" s="541"/>
      <c r="G249" s="541"/>
      <c r="H249" s="541"/>
      <c r="I249" s="647"/>
      <c r="J249" s="647"/>
      <c r="K249" s="670"/>
      <c r="L249" s="647"/>
      <c r="M249" s="647"/>
      <c r="N249" s="647"/>
      <c r="O249" s="647"/>
      <c r="Q249" s="670"/>
    </row>
    <row r="250" spans="1:17">
      <c r="B250" s="332"/>
      <c r="C250" s="541" t="s">
        <v>601</v>
      </c>
      <c r="D250" s="564"/>
      <c r="E250" s="541"/>
      <c r="F250" s="541"/>
      <c r="G250" s="541"/>
      <c r="H250" s="541"/>
      <c r="I250" s="647"/>
      <c r="J250" s="647"/>
      <c r="K250" s="670"/>
      <c r="L250" s="647"/>
      <c r="M250" s="647"/>
      <c r="N250" s="647"/>
      <c r="O250" s="647"/>
      <c r="Q250" s="670"/>
    </row>
    <row r="251" spans="1:17">
      <c r="B251" s="332"/>
      <c r="D251" s="564"/>
      <c r="E251" s="541"/>
      <c r="F251" s="541"/>
      <c r="G251" s="541"/>
      <c r="H251" s="541"/>
      <c r="I251" s="647"/>
      <c r="J251" s="647"/>
      <c r="K251" s="670"/>
      <c r="L251" s="647"/>
      <c r="M251" s="647"/>
      <c r="N251" s="647"/>
      <c r="O251" s="647"/>
      <c r="Q251" s="670"/>
    </row>
    <row r="252" spans="1:17">
      <c r="B252" s="332"/>
      <c r="C252" s="577" t="s">
        <v>602</v>
      </c>
      <c r="D252" s="674"/>
      <c r="E252" s="674"/>
      <c r="F252" s="674"/>
      <c r="G252" s="674"/>
      <c r="H252" s="670"/>
      <c r="I252" s="670"/>
      <c r="J252" s="675"/>
      <c r="K252" s="675"/>
      <c r="L252" s="675"/>
      <c r="M252" s="675"/>
      <c r="N252" s="675"/>
      <c r="O252" s="675"/>
      <c r="Q252" s="675"/>
    </row>
    <row r="253" spans="1:17">
      <c r="B253" s="332"/>
      <c r="C253" s="577" t="s">
        <v>476</v>
      </c>
      <c r="D253" s="674"/>
      <c r="E253" s="674"/>
      <c r="F253" s="674"/>
      <c r="G253" s="674"/>
      <c r="H253" s="670"/>
      <c r="I253" s="670"/>
      <c r="J253" s="675"/>
      <c r="K253" s="675"/>
      <c r="L253" s="675"/>
      <c r="M253" s="675"/>
      <c r="N253" s="675"/>
      <c r="O253" s="675"/>
      <c r="Q253" s="675"/>
    </row>
    <row r="254" spans="1:17">
      <c r="B254" s="332"/>
      <c r="C254" s="577" t="s">
        <v>289</v>
      </c>
      <c r="D254" s="674"/>
      <c r="E254" s="674"/>
      <c r="F254" s="674"/>
      <c r="G254" s="674"/>
      <c r="H254" s="670"/>
      <c r="I254" s="670"/>
      <c r="J254" s="675"/>
      <c r="K254" s="675"/>
      <c r="L254" s="675"/>
      <c r="M254" s="675"/>
      <c r="N254" s="675"/>
      <c r="O254" s="675"/>
      <c r="Q254" s="675"/>
    </row>
    <row r="255" spans="1:17" ht="20.25">
      <c r="A255" s="676" t="s">
        <v>770</v>
      </c>
      <c r="B255" s="541"/>
      <c r="C255" s="656"/>
      <c r="D255" s="564"/>
      <c r="E255" s="541"/>
      <c r="F255" s="646"/>
      <c r="G255" s="646"/>
      <c r="H255" s="541"/>
      <c r="I255" s="647"/>
      <c r="L255" s="677"/>
      <c r="M255" s="677"/>
      <c r="N255" s="677"/>
      <c r="O255" s="592" t="str">
        <f>"Page "&amp;SUM(Q$3:Q255)&amp;" of "</f>
        <v xml:space="preserve">Page 4 of </v>
      </c>
      <c r="P255" s="593">
        <f>COUNT(Q$8:Q$58123)</f>
        <v>16</v>
      </c>
      <c r="Q255" s="761">
        <v>1</v>
      </c>
    </row>
    <row r="256" spans="1:17">
      <c r="B256" s="541"/>
      <c r="C256" s="541"/>
      <c r="D256" s="564"/>
      <c r="E256" s="541"/>
      <c r="F256" s="541"/>
      <c r="G256" s="541"/>
      <c r="H256" s="541"/>
      <c r="I256" s="647"/>
      <c r="J256" s="541"/>
      <c r="K256" s="589"/>
      <c r="Q256" s="589"/>
    </row>
    <row r="257" spans="1:17" ht="18">
      <c r="B257" s="596" t="s">
        <v>174</v>
      </c>
      <c r="C257" s="678" t="s">
        <v>290</v>
      </c>
      <c r="D257" s="564"/>
      <c r="E257" s="541"/>
      <c r="F257" s="541"/>
      <c r="G257" s="541"/>
      <c r="H257" s="541"/>
      <c r="I257" s="647"/>
      <c r="J257" s="647"/>
      <c r="K257" s="670"/>
      <c r="L257" s="647"/>
      <c r="M257" s="647"/>
      <c r="N257" s="647"/>
      <c r="O257" s="647"/>
      <c r="Q257" s="670"/>
    </row>
    <row r="258" spans="1:17" ht="18.75">
      <c r="B258" s="596"/>
      <c r="C258" s="595"/>
      <c r="D258" s="564"/>
      <c r="E258" s="541"/>
      <c r="F258" s="541"/>
      <c r="G258" s="541"/>
      <c r="H258" s="541"/>
      <c r="I258" s="647"/>
      <c r="J258" s="647"/>
      <c r="K258" s="670"/>
      <c r="L258" s="647"/>
      <c r="M258" s="647"/>
      <c r="N258" s="647"/>
      <c r="O258" s="647"/>
      <c r="Q258" s="670"/>
    </row>
    <row r="259" spans="1:17" ht="18.75">
      <c r="B259" s="596"/>
      <c r="C259" s="595" t="s">
        <v>291</v>
      </c>
      <c r="D259" s="564"/>
      <c r="E259" s="541"/>
      <c r="F259" s="541"/>
      <c r="G259" s="541"/>
      <c r="H259" s="541"/>
      <c r="I259" s="647"/>
      <c r="J259" s="647"/>
      <c r="K259" s="670"/>
      <c r="L259" s="647"/>
      <c r="M259" s="647"/>
      <c r="N259" s="647"/>
      <c r="O259" s="647"/>
      <c r="Q259" s="670"/>
    </row>
    <row r="260" spans="1:17" ht="15.75" thickBot="1">
      <c r="B260" s="332"/>
      <c r="C260" s="398"/>
      <c r="D260" s="564"/>
      <c r="E260" s="541"/>
      <c r="F260" s="541"/>
      <c r="G260" s="541"/>
      <c r="H260" s="541"/>
      <c r="I260" s="647"/>
      <c r="J260" s="647"/>
      <c r="K260" s="670"/>
      <c r="L260" s="647"/>
      <c r="M260" s="647"/>
      <c r="N260" s="647"/>
      <c r="O260" s="647"/>
      <c r="Q260" s="670"/>
    </row>
    <row r="261" spans="1:17" ht="15.75">
      <c r="B261" s="332"/>
      <c r="C261" s="597" t="s">
        <v>292</v>
      </c>
      <c r="D261" s="564"/>
      <c r="E261" s="541"/>
      <c r="F261" s="541"/>
      <c r="G261" s="541"/>
      <c r="H261" s="870"/>
      <c r="I261" s="541" t="s">
        <v>271</v>
      </c>
      <c r="J261" s="541"/>
      <c r="K261" s="589"/>
      <c r="L261" s="762">
        <f>+J267</f>
        <v>2020</v>
      </c>
      <c r="M261" s="744" t="s">
        <v>254</v>
      </c>
      <c r="N261" s="744" t="s">
        <v>255</v>
      </c>
      <c r="O261" s="745" t="s">
        <v>256</v>
      </c>
      <c r="Q261" s="589"/>
    </row>
    <row r="262" spans="1:17" ht="15.75">
      <c r="B262" s="332"/>
      <c r="C262" s="597"/>
      <c r="D262" s="564"/>
      <c r="E262" s="541"/>
      <c r="F262" s="541"/>
      <c r="H262" s="541"/>
      <c r="I262" s="682"/>
      <c r="J262" s="682"/>
      <c r="K262" s="683"/>
      <c r="L262" s="763" t="s">
        <v>455</v>
      </c>
      <c r="M262" s="764">
        <f>VLOOKUP(J267,C274:P333,10)</f>
        <v>2304570.9304921119</v>
      </c>
      <c r="N262" s="764">
        <f>VLOOKUP(J267,C274:P333,12)</f>
        <v>2304570.9304921119</v>
      </c>
      <c r="O262" s="765">
        <f>+N262-M262</f>
        <v>0</v>
      </c>
      <c r="Q262" s="683"/>
    </row>
    <row r="263" spans="1:17">
      <c r="B263" s="332"/>
      <c r="C263" s="685" t="s">
        <v>293</v>
      </c>
      <c r="D263" s="1544" t="s">
        <v>976</v>
      </c>
      <c r="E263" s="1544"/>
      <c r="F263" s="1544"/>
      <c r="G263" s="1544"/>
      <c r="H263" s="881"/>
      <c r="I263" s="647"/>
      <c r="J263" s="647"/>
      <c r="K263" s="670"/>
      <c r="L263" s="763" t="s">
        <v>456</v>
      </c>
      <c r="M263" s="766">
        <f>VLOOKUP(J267,C274:P333,6)</f>
        <v>3145373.4208832541</v>
      </c>
      <c r="N263" s="766">
        <f>VLOOKUP(J267,C274:P333,7)</f>
        <v>3145373.4208832541</v>
      </c>
      <c r="O263" s="767">
        <f>+N263-M263</f>
        <v>0</v>
      </c>
      <c r="Q263" s="670"/>
    </row>
    <row r="264" spans="1:17" ht="13.5" thickBot="1">
      <c r="B264" s="332"/>
      <c r="C264" s="687"/>
      <c r="D264" s="688"/>
      <c r="E264" s="672"/>
      <c r="F264" s="672"/>
      <c r="G264" s="672"/>
      <c r="H264" s="689"/>
      <c r="I264" s="647"/>
      <c r="J264" s="647"/>
      <c r="K264" s="670"/>
      <c r="L264" s="708" t="s">
        <v>457</v>
      </c>
      <c r="M264" s="768">
        <f>+M263-M262</f>
        <v>840802.4903911422</v>
      </c>
      <c r="N264" s="768">
        <f>+N263-N262</f>
        <v>840802.4903911422</v>
      </c>
      <c r="O264" s="769">
        <f>+O263-O262</f>
        <v>0</v>
      </c>
      <c r="Q264" s="670"/>
    </row>
    <row r="265" spans="1:17" ht="13.5" thickBot="1">
      <c r="B265" s="332"/>
      <c r="C265" s="690"/>
      <c r="D265" s="691"/>
      <c r="E265" s="689"/>
      <c r="F265" s="689"/>
      <c r="G265" s="689"/>
      <c r="H265" s="689"/>
      <c r="I265" s="689"/>
      <c r="J265" s="689"/>
      <c r="K265" s="692"/>
      <c r="L265" s="689"/>
      <c r="M265" s="689"/>
      <c r="N265" s="689"/>
      <c r="O265" s="689"/>
      <c r="P265" s="577"/>
      <c r="Q265" s="692"/>
    </row>
    <row r="266" spans="1:17" ht="13.5" thickBot="1">
      <c r="B266" s="332"/>
      <c r="C266" s="694" t="s">
        <v>294</v>
      </c>
      <c r="D266" s="695"/>
      <c r="E266" s="695"/>
      <c r="F266" s="695"/>
      <c r="G266" s="695"/>
      <c r="H266" s="695"/>
      <c r="I266" s="695"/>
      <c r="J266" s="695"/>
      <c r="K266" s="697"/>
      <c r="P266" s="698"/>
      <c r="Q266" s="697"/>
    </row>
    <row r="267" spans="1:17" ht="15">
      <c r="A267" s="693"/>
      <c r="B267" s="332"/>
      <c r="C267" s="700" t="s">
        <v>272</v>
      </c>
      <c r="D267" s="871">
        <v>28572967.260000002</v>
      </c>
      <c r="E267" s="656" t="s">
        <v>273</v>
      </c>
      <c r="H267" s="701"/>
      <c r="I267" s="701"/>
      <c r="J267" s="702">
        <f>$J$95</f>
        <v>2020</v>
      </c>
      <c r="K267" s="587"/>
      <c r="L267" s="1545" t="s">
        <v>274</v>
      </c>
      <c r="M267" s="1545"/>
      <c r="N267" s="1545"/>
      <c r="O267" s="1545"/>
      <c r="P267" s="589"/>
      <c r="Q267" s="587"/>
    </row>
    <row r="268" spans="1:17">
      <c r="A268" s="693"/>
      <c r="B268" s="332"/>
      <c r="C268" s="700" t="s">
        <v>275</v>
      </c>
      <c r="D268" s="882">
        <v>2014</v>
      </c>
      <c r="E268" s="700" t="s">
        <v>276</v>
      </c>
      <c r="F268" s="701"/>
      <c r="G268" s="701"/>
      <c r="I268" s="332"/>
      <c r="J268" s="875">
        <v>0</v>
      </c>
      <c r="K268" s="703"/>
      <c r="L268" s="670" t="s">
        <v>475</v>
      </c>
      <c r="P268" s="589"/>
      <c r="Q268" s="703"/>
    </row>
    <row r="269" spans="1:17">
      <c r="A269" s="693"/>
      <c r="B269" s="332"/>
      <c r="C269" s="700" t="s">
        <v>277</v>
      </c>
      <c r="D269" s="873">
        <v>9</v>
      </c>
      <c r="E269" s="700" t="s">
        <v>278</v>
      </c>
      <c r="F269" s="701"/>
      <c r="G269" s="701"/>
      <c r="I269" s="332"/>
      <c r="J269" s="704">
        <f>$F$70</f>
        <v>0.1009634410531228</v>
      </c>
      <c r="K269" s="705"/>
      <c r="L269" s="541" t="str">
        <f>"          INPUT TRUE-UP ARR (WITH &amp; WITHOUT INCENTIVES) FROM EACH PRIOR YEAR"</f>
        <v xml:space="preserve">          INPUT TRUE-UP ARR (WITH &amp; WITHOUT INCENTIVES) FROM EACH PRIOR YEAR</v>
      </c>
      <c r="P269" s="589"/>
      <c r="Q269" s="705"/>
    </row>
    <row r="270" spans="1:17">
      <c r="A270" s="693"/>
      <c r="B270" s="332"/>
      <c r="C270" s="700" t="s">
        <v>279</v>
      </c>
      <c r="D270" s="706">
        <f>H79</f>
        <v>46</v>
      </c>
      <c r="E270" s="700" t="s">
        <v>280</v>
      </c>
      <c r="F270" s="701"/>
      <c r="G270" s="701"/>
      <c r="I270" s="332"/>
      <c r="J270" s="704">
        <f>IF(H261="",J269,$F$69)</f>
        <v>0.1009634410531228</v>
      </c>
      <c r="K270" s="707"/>
      <c r="L270" s="541" t="s">
        <v>362</v>
      </c>
      <c r="M270" s="707"/>
      <c r="N270" s="707"/>
      <c r="O270" s="707"/>
      <c r="P270" s="589"/>
      <c r="Q270" s="707"/>
    </row>
    <row r="271" spans="1:17" ht="13.5" thickBot="1">
      <c r="A271" s="693"/>
      <c r="B271" s="332"/>
      <c r="C271" s="700" t="s">
        <v>281</v>
      </c>
      <c r="D271" s="874" t="s">
        <v>974</v>
      </c>
      <c r="E271" s="708" t="s">
        <v>282</v>
      </c>
      <c r="F271" s="709"/>
      <c r="G271" s="709"/>
      <c r="H271" s="710"/>
      <c r="I271" s="710"/>
      <c r="J271" s="686">
        <f>IF(D267=0,0,D267/D270)</f>
        <v>621151.46217391302</v>
      </c>
      <c r="K271" s="670"/>
      <c r="L271" s="670" t="s">
        <v>363</v>
      </c>
      <c r="M271" s="670"/>
      <c r="N271" s="670"/>
      <c r="O271" s="670"/>
      <c r="P271" s="589"/>
      <c r="Q271" s="670"/>
    </row>
    <row r="272" spans="1:17" ht="38.25">
      <c r="A272" s="528"/>
      <c r="B272" s="528"/>
      <c r="C272" s="711" t="s">
        <v>272</v>
      </c>
      <c r="D272" s="712" t="s">
        <v>283</v>
      </c>
      <c r="E272" s="713" t="s">
        <v>284</v>
      </c>
      <c r="F272" s="712" t="s">
        <v>285</v>
      </c>
      <c r="G272" s="712" t="s">
        <v>458</v>
      </c>
      <c r="H272" s="713" t="s">
        <v>356</v>
      </c>
      <c r="I272" s="714" t="s">
        <v>356</v>
      </c>
      <c r="J272" s="711" t="s">
        <v>295</v>
      </c>
      <c r="K272" s="715"/>
      <c r="L272" s="713" t="s">
        <v>358</v>
      </c>
      <c r="M272" s="713" t="s">
        <v>364</v>
      </c>
      <c r="N272" s="713" t="s">
        <v>358</v>
      </c>
      <c r="O272" s="713" t="s">
        <v>366</v>
      </c>
      <c r="P272" s="713" t="s">
        <v>286</v>
      </c>
      <c r="Q272" s="716"/>
    </row>
    <row r="273" spans="2:17" ht="13.5" thickBot="1">
      <c r="B273" s="332"/>
      <c r="C273" s="717" t="s">
        <v>177</v>
      </c>
      <c r="D273" s="718" t="s">
        <v>178</v>
      </c>
      <c r="E273" s="717" t="s">
        <v>37</v>
      </c>
      <c r="F273" s="718" t="s">
        <v>178</v>
      </c>
      <c r="G273" s="718" t="s">
        <v>178</v>
      </c>
      <c r="H273" s="719" t="s">
        <v>298</v>
      </c>
      <c r="I273" s="720" t="s">
        <v>300</v>
      </c>
      <c r="J273" s="721" t="s">
        <v>389</v>
      </c>
      <c r="K273" s="722"/>
      <c r="L273" s="719" t="s">
        <v>287</v>
      </c>
      <c r="M273" s="719" t="s">
        <v>287</v>
      </c>
      <c r="N273" s="719" t="s">
        <v>467</v>
      </c>
      <c r="O273" s="719" t="s">
        <v>467</v>
      </c>
      <c r="P273" s="719" t="s">
        <v>467</v>
      </c>
      <c r="Q273" s="587"/>
    </row>
    <row r="274" spans="2:17">
      <c r="B274" s="332"/>
      <c r="C274" s="723">
        <f>IF(D268= "","-",D268)</f>
        <v>2014</v>
      </c>
      <c r="D274" s="674">
        <f>+D267</f>
        <v>28572967.260000002</v>
      </c>
      <c r="E274" s="724">
        <f>+J271/12*(12-D269)</f>
        <v>155287.86554347826</v>
      </c>
      <c r="F274" s="770">
        <f t="shared" ref="F274:F333" si="24">+D274-E274</f>
        <v>28417679.394456524</v>
      </c>
      <c r="G274" s="674">
        <f t="shared" ref="G274:G333" si="25">+(D274+F274)/2</f>
        <v>28495323.327228263</v>
      </c>
      <c r="H274" s="725">
        <f>+J269*G274+E274</f>
        <v>3032273.7625817638</v>
      </c>
      <c r="I274" s="726">
        <f>+J270*G274+E274</f>
        <v>3032273.7625817638</v>
      </c>
      <c r="J274" s="727">
        <f t="shared" ref="J274:J333" si="26">+I274-H274</f>
        <v>0</v>
      </c>
      <c r="K274" s="727"/>
      <c r="L274" s="728">
        <v>184681</v>
      </c>
      <c r="M274" s="771">
        <f t="shared" ref="M274:M333" si="27">IF(L274&lt;&gt;0,+H274-L274,0)</f>
        <v>2847592.7625817638</v>
      </c>
      <c r="N274" s="728">
        <v>184681</v>
      </c>
      <c r="O274" s="771">
        <f t="shared" ref="O274:O333" si="28">IF(N274&lt;&gt;0,+I274-N274,0)</f>
        <v>2847592.7625817638</v>
      </c>
      <c r="P274" s="771">
        <f t="shared" ref="P274:P333" si="29">+O274-M274</f>
        <v>0</v>
      </c>
      <c r="Q274" s="675"/>
    </row>
    <row r="275" spans="2:17">
      <c r="B275" s="332"/>
      <c r="C275" s="723">
        <f>IF(D268="","-",+C274+1)</f>
        <v>2015</v>
      </c>
      <c r="D275" s="674">
        <f t="shared" ref="D275:D333" si="30">F274</f>
        <v>28417679.394456524</v>
      </c>
      <c r="E275" s="730">
        <f>IF(D275&gt;$J$271,$J$271,D275)</f>
        <v>621151.46217391302</v>
      </c>
      <c r="F275" s="730">
        <f t="shared" si="24"/>
        <v>27796527.932282612</v>
      </c>
      <c r="G275" s="674">
        <f t="shared" si="25"/>
        <v>28107103.663369566</v>
      </c>
      <c r="H275" s="724">
        <f>+J269*G275+E275</f>
        <v>3458941.3660645382</v>
      </c>
      <c r="I275" s="731">
        <f>+J270*G275+E275</f>
        <v>3458941.3660645382</v>
      </c>
      <c r="J275" s="727">
        <f t="shared" si="26"/>
        <v>0</v>
      </c>
      <c r="K275" s="727"/>
      <c r="L275" s="732">
        <v>1644963</v>
      </c>
      <c r="M275" s="727">
        <f t="shared" si="27"/>
        <v>1813978.3660645382</v>
      </c>
      <c r="N275" s="732">
        <v>1644963</v>
      </c>
      <c r="O275" s="727">
        <f t="shared" si="28"/>
        <v>1813978.3660645382</v>
      </c>
      <c r="P275" s="727">
        <f t="shared" si="29"/>
        <v>0</v>
      </c>
      <c r="Q275" s="675"/>
    </row>
    <row r="276" spans="2:17">
      <c r="B276" s="332"/>
      <c r="C276" s="723">
        <f>IF(D268="","-",+C275+1)</f>
        <v>2016</v>
      </c>
      <c r="D276" s="674">
        <f t="shared" si="30"/>
        <v>27796527.932282612</v>
      </c>
      <c r="E276" s="730">
        <f t="shared" ref="E276:E333" si="31">IF(D276&gt;$J$271,$J$271,D276)</f>
        <v>621151.46217391302</v>
      </c>
      <c r="F276" s="730">
        <f t="shared" si="24"/>
        <v>27175376.470108699</v>
      </c>
      <c r="G276" s="674">
        <f t="shared" si="25"/>
        <v>27485952.201195657</v>
      </c>
      <c r="H276" s="724">
        <f>+J269*G276+E276</f>
        <v>3396227.7770282817</v>
      </c>
      <c r="I276" s="731">
        <f>+J270*G276+E276</f>
        <v>3396227.7770282817</v>
      </c>
      <c r="J276" s="727">
        <f t="shared" si="26"/>
        <v>0</v>
      </c>
      <c r="K276" s="727"/>
      <c r="L276" s="732">
        <v>1563801</v>
      </c>
      <c r="M276" s="727">
        <f t="shared" si="27"/>
        <v>1832426.7770282817</v>
      </c>
      <c r="N276" s="732">
        <v>1563801</v>
      </c>
      <c r="O276" s="727">
        <f t="shared" si="28"/>
        <v>1832426.7770282817</v>
      </c>
      <c r="P276" s="727">
        <f t="shared" si="29"/>
        <v>0</v>
      </c>
      <c r="Q276" s="675"/>
    </row>
    <row r="277" spans="2:17">
      <c r="B277" s="332"/>
      <c r="C277" s="723">
        <f>IF(D268="","-",+C276+1)</f>
        <v>2017</v>
      </c>
      <c r="D277" s="674">
        <f t="shared" si="30"/>
        <v>27175376.470108699</v>
      </c>
      <c r="E277" s="730">
        <f t="shared" si="31"/>
        <v>621151.46217391302</v>
      </c>
      <c r="F277" s="730">
        <f t="shared" si="24"/>
        <v>26554225.007934786</v>
      </c>
      <c r="G277" s="674">
        <f t="shared" si="25"/>
        <v>26864800.739021741</v>
      </c>
      <c r="H277" s="724">
        <f>+J269*G277+E277</f>
        <v>3333514.1879920247</v>
      </c>
      <c r="I277" s="731">
        <f>+J270*G277+E277</f>
        <v>3333514.1879920247</v>
      </c>
      <c r="J277" s="727">
        <f t="shared" si="26"/>
        <v>0</v>
      </c>
      <c r="K277" s="727"/>
      <c r="L277" s="732">
        <v>2152715</v>
      </c>
      <c r="M277" s="727">
        <f t="shared" si="27"/>
        <v>1180799.1879920247</v>
      </c>
      <c r="N277" s="732">
        <v>2152715</v>
      </c>
      <c r="O277" s="727">
        <f t="shared" si="28"/>
        <v>1180799.1879920247</v>
      </c>
      <c r="P277" s="727">
        <f t="shared" si="29"/>
        <v>0</v>
      </c>
      <c r="Q277" s="675"/>
    </row>
    <row r="278" spans="2:17">
      <c r="B278" s="332"/>
      <c r="C278" s="723">
        <f>IF(D268="","-",+C277+1)</f>
        <v>2018</v>
      </c>
      <c r="D278" s="1453">
        <f t="shared" si="30"/>
        <v>26554225.007934786</v>
      </c>
      <c r="E278" s="730">
        <f t="shared" si="31"/>
        <v>621151.46217391302</v>
      </c>
      <c r="F278" s="730">
        <f t="shared" si="24"/>
        <v>25933073.545760874</v>
      </c>
      <c r="G278" s="674">
        <f t="shared" si="25"/>
        <v>26243649.276847832</v>
      </c>
      <c r="H278" s="724">
        <f>+J269*G278+E278</f>
        <v>3270800.5989557682</v>
      </c>
      <c r="I278" s="731">
        <f>+J270*G278+E278</f>
        <v>3270800.5989557682</v>
      </c>
      <c r="J278" s="727">
        <f t="shared" si="26"/>
        <v>0</v>
      </c>
      <c r="K278" s="727"/>
      <c r="L278" s="732">
        <v>1909994</v>
      </c>
      <c r="M278" s="727">
        <f t="shared" si="27"/>
        <v>1360806.5989557682</v>
      </c>
      <c r="N278" s="732">
        <v>1909994</v>
      </c>
      <c r="O278" s="727">
        <f t="shared" si="28"/>
        <v>1360806.5989557682</v>
      </c>
      <c r="P278" s="727">
        <f t="shared" si="29"/>
        <v>0</v>
      </c>
      <c r="Q278" s="675"/>
    </row>
    <row r="279" spans="2:17">
      <c r="B279" s="332"/>
      <c r="C279" s="723">
        <f>IF(D268="","-",+C278+1)</f>
        <v>2019</v>
      </c>
      <c r="D279" s="674">
        <f t="shared" si="30"/>
        <v>25933073.545760874</v>
      </c>
      <c r="E279" s="730">
        <f t="shared" si="31"/>
        <v>621151.46217391302</v>
      </c>
      <c r="F279" s="730">
        <f t="shared" si="24"/>
        <v>25311922.083586961</v>
      </c>
      <c r="G279" s="674">
        <f t="shared" si="25"/>
        <v>25622497.814673916</v>
      </c>
      <c r="H279" s="724">
        <f>+J269*G279+E279</f>
        <v>3208087.0099195107</v>
      </c>
      <c r="I279" s="731">
        <f>+J270*G279+E279</f>
        <v>3208087.0099195107</v>
      </c>
      <c r="J279" s="727">
        <f t="shared" si="26"/>
        <v>0</v>
      </c>
      <c r="K279" s="727"/>
      <c r="L279" s="732">
        <v>1902485</v>
      </c>
      <c r="M279" s="727">
        <f t="shared" si="27"/>
        <v>1305602.0099195107</v>
      </c>
      <c r="N279" s="732">
        <v>1902485</v>
      </c>
      <c r="O279" s="727">
        <f t="shared" si="28"/>
        <v>1305602.0099195107</v>
      </c>
      <c r="P279" s="727">
        <f t="shared" si="29"/>
        <v>0</v>
      </c>
      <c r="Q279" s="675"/>
    </row>
    <row r="280" spans="2:17">
      <c r="B280" s="332"/>
      <c r="C280" s="723">
        <f>IF(D268="","-",+C279+1)</f>
        <v>2020</v>
      </c>
      <c r="D280" s="674">
        <f t="shared" si="30"/>
        <v>25311922.083586961</v>
      </c>
      <c r="E280" s="730">
        <f t="shared" si="31"/>
        <v>621151.46217391302</v>
      </c>
      <c r="F280" s="730">
        <f t="shared" si="24"/>
        <v>24690770.621413048</v>
      </c>
      <c r="G280" s="674">
        <f t="shared" si="25"/>
        <v>25001346.352500007</v>
      </c>
      <c r="H280" s="724">
        <f>+J269*G280+E280</f>
        <v>3145373.4208832541</v>
      </c>
      <c r="I280" s="731">
        <f>+J270*G280+E280</f>
        <v>3145373.4208832541</v>
      </c>
      <c r="J280" s="727">
        <f t="shared" si="26"/>
        <v>0</v>
      </c>
      <c r="K280" s="727"/>
      <c r="L280" s="732">
        <v>2304570.9304921119</v>
      </c>
      <c r="M280" s="727">
        <f t="shared" si="27"/>
        <v>840802.4903911422</v>
      </c>
      <c r="N280" s="732">
        <v>2304570.9304921119</v>
      </c>
      <c r="O280" s="727">
        <f t="shared" si="28"/>
        <v>840802.4903911422</v>
      </c>
      <c r="P280" s="727">
        <f t="shared" si="29"/>
        <v>0</v>
      </c>
      <c r="Q280" s="675"/>
    </row>
    <row r="281" spans="2:17">
      <c r="B281" s="332"/>
      <c r="C281" s="723">
        <f>IF(D268="","-",+C280+1)</f>
        <v>2021</v>
      </c>
      <c r="D281" s="674">
        <f t="shared" si="30"/>
        <v>24690770.621413048</v>
      </c>
      <c r="E281" s="730">
        <f t="shared" si="31"/>
        <v>621151.46217391302</v>
      </c>
      <c r="F281" s="730">
        <f t="shared" si="24"/>
        <v>24069619.159239136</v>
      </c>
      <c r="G281" s="674">
        <f t="shared" si="25"/>
        <v>24380194.89032609</v>
      </c>
      <c r="H281" s="724">
        <f>+J269*G281+E281</f>
        <v>3082659.8318469971</v>
      </c>
      <c r="I281" s="731">
        <f>+J270*G281+E281</f>
        <v>3082659.8318469971</v>
      </c>
      <c r="J281" s="727">
        <f t="shared" si="26"/>
        <v>0</v>
      </c>
      <c r="K281" s="727"/>
      <c r="L281" s="732">
        <v>0</v>
      </c>
      <c r="M281" s="727">
        <f t="shared" si="27"/>
        <v>0</v>
      </c>
      <c r="N281" s="732">
        <v>0</v>
      </c>
      <c r="O281" s="727">
        <f t="shared" si="28"/>
        <v>0</v>
      </c>
      <c r="P281" s="727">
        <f t="shared" si="29"/>
        <v>0</v>
      </c>
      <c r="Q281" s="675"/>
    </row>
    <row r="282" spans="2:17">
      <c r="B282" s="332"/>
      <c r="C282" s="723">
        <f>IF(D268="","-",+C281+1)</f>
        <v>2022</v>
      </c>
      <c r="D282" s="674">
        <f t="shared" si="30"/>
        <v>24069619.159239136</v>
      </c>
      <c r="E282" s="730">
        <f t="shared" si="31"/>
        <v>621151.46217391302</v>
      </c>
      <c r="F282" s="730">
        <f t="shared" si="24"/>
        <v>23448467.697065223</v>
      </c>
      <c r="G282" s="674">
        <f t="shared" si="25"/>
        <v>23759043.428152181</v>
      </c>
      <c r="H282" s="724">
        <f>+J269*G282+E282</f>
        <v>3019946.2428107406</v>
      </c>
      <c r="I282" s="731">
        <f>+J270*G282+E282</f>
        <v>3019946.2428107406</v>
      </c>
      <c r="J282" s="727">
        <f t="shared" si="26"/>
        <v>0</v>
      </c>
      <c r="K282" s="727"/>
      <c r="L282" s="732">
        <v>0</v>
      </c>
      <c r="M282" s="727">
        <f t="shared" si="27"/>
        <v>0</v>
      </c>
      <c r="N282" s="732">
        <v>0</v>
      </c>
      <c r="O282" s="727">
        <f t="shared" si="28"/>
        <v>0</v>
      </c>
      <c r="P282" s="727">
        <f t="shared" si="29"/>
        <v>0</v>
      </c>
      <c r="Q282" s="675"/>
    </row>
    <row r="283" spans="2:17">
      <c r="B283" s="332"/>
      <c r="C283" s="723">
        <f>IF(D268="","-",+C282+1)</f>
        <v>2023</v>
      </c>
      <c r="D283" s="674">
        <f t="shared" si="30"/>
        <v>23448467.697065223</v>
      </c>
      <c r="E283" s="730">
        <f t="shared" si="31"/>
        <v>621151.46217391302</v>
      </c>
      <c r="F283" s="730">
        <f t="shared" si="24"/>
        <v>22827316.23489131</v>
      </c>
      <c r="G283" s="674">
        <f t="shared" si="25"/>
        <v>23137891.965978265</v>
      </c>
      <c r="H283" s="724">
        <f>+J269*G283+E283</f>
        <v>2957232.6537744831</v>
      </c>
      <c r="I283" s="731">
        <f>+J270*G283+E283</f>
        <v>2957232.6537744831</v>
      </c>
      <c r="J283" s="727">
        <f t="shared" si="26"/>
        <v>0</v>
      </c>
      <c r="K283" s="727"/>
      <c r="L283" s="732">
        <v>0</v>
      </c>
      <c r="M283" s="727">
        <f t="shared" si="27"/>
        <v>0</v>
      </c>
      <c r="N283" s="732">
        <v>0</v>
      </c>
      <c r="O283" s="727">
        <f t="shared" si="28"/>
        <v>0</v>
      </c>
      <c r="P283" s="727">
        <f t="shared" si="29"/>
        <v>0</v>
      </c>
      <c r="Q283" s="675"/>
    </row>
    <row r="284" spans="2:17">
      <c r="B284" s="332"/>
      <c r="C284" s="723">
        <f>IF(D268="","-",+C283+1)</f>
        <v>2024</v>
      </c>
      <c r="D284" s="674">
        <f t="shared" si="30"/>
        <v>22827316.23489131</v>
      </c>
      <c r="E284" s="730">
        <f t="shared" si="31"/>
        <v>621151.46217391302</v>
      </c>
      <c r="F284" s="730">
        <f t="shared" si="24"/>
        <v>22206164.772717398</v>
      </c>
      <c r="G284" s="674">
        <f t="shared" si="25"/>
        <v>22516740.503804356</v>
      </c>
      <c r="H284" s="724">
        <f>+J269*G284+E284</f>
        <v>2894519.0647382266</v>
      </c>
      <c r="I284" s="731">
        <f>+J270*G284+E284</f>
        <v>2894519.0647382266</v>
      </c>
      <c r="J284" s="727">
        <f t="shared" si="26"/>
        <v>0</v>
      </c>
      <c r="K284" s="727"/>
      <c r="L284" s="732">
        <v>0</v>
      </c>
      <c r="M284" s="727">
        <f t="shared" si="27"/>
        <v>0</v>
      </c>
      <c r="N284" s="732">
        <v>0</v>
      </c>
      <c r="O284" s="727">
        <f t="shared" si="28"/>
        <v>0</v>
      </c>
      <c r="P284" s="727">
        <f t="shared" si="29"/>
        <v>0</v>
      </c>
      <c r="Q284" s="675"/>
    </row>
    <row r="285" spans="2:17">
      <c r="B285" s="332"/>
      <c r="C285" s="723">
        <f>IF(D268="","-",+C284+1)</f>
        <v>2025</v>
      </c>
      <c r="D285" s="674">
        <f t="shared" si="30"/>
        <v>22206164.772717398</v>
      </c>
      <c r="E285" s="730">
        <f t="shared" si="31"/>
        <v>621151.46217391302</v>
      </c>
      <c r="F285" s="730">
        <f t="shared" si="24"/>
        <v>21585013.310543485</v>
      </c>
      <c r="G285" s="674">
        <f t="shared" si="25"/>
        <v>21895589.041630439</v>
      </c>
      <c r="H285" s="724">
        <f>+J269*G285+E285</f>
        <v>2831805.4757019696</v>
      </c>
      <c r="I285" s="731">
        <f>+J270*G285+E285</f>
        <v>2831805.4757019696</v>
      </c>
      <c r="J285" s="727">
        <f t="shared" si="26"/>
        <v>0</v>
      </c>
      <c r="K285" s="727"/>
      <c r="L285" s="732"/>
      <c r="M285" s="727">
        <f t="shared" si="27"/>
        <v>0</v>
      </c>
      <c r="N285" s="732"/>
      <c r="O285" s="727">
        <f t="shared" si="28"/>
        <v>0</v>
      </c>
      <c r="P285" s="727">
        <f t="shared" si="29"/>
        <v>0</v>
      </c>
      <c r="Q285" s="675"/>
    </row>
    <row r="286" spans="2:17">
      <c r="B286" s="332"/>
      <c r="C286" s="723">
        <f>IF(D268="","-",+C285+1)</f>
        <v>2026</v>
      </c>
      <c r="D286" s="674">
        <f t="shared" si="30"/>
        <v>21585013.310543485</v>
      </c>
      <c r="E286" s="730">
        <f t="shared" si="31"/>
        <v>621151.46217391302</v>
      </c>
      <c r="F286" s="730">
        <f t="shared" si="24"/>
        <v>20963861.848369572</v>
      </c>
      <c r="G286" s="674">
        <f t="shared" si="25"/>
        <v>21274437.579456531</v>
      </c>
      <c r="H286" s="724">
        <f>+J269*G286+E286</f>
        <v>2769091.886665713</v>
      </c>
      <c r="I286" s="731">
        <f>+J270*G286+E286</f>
        <v>2769091.886665713</v>
      </c>
      <c r="J286" s="727">
        <f t="shared" si="26"/>
        <v>0</v>
      </c>
      <c r="K286" s="727"/>
      <c r="L286" s="732"/>
      <c r="M286" s="727">
        <f t="shared" si="27"/>
        <v>0</v>
      </c>
      <c r="N286" s="732"/>
      <c r="O286" s="727">
        <f t="shared" si="28"/>
        <v>0</v>
      </c>
      <c r="P286" s="727">
        <f t="shared" si="29"/>
        <v>0</v>
      </c>
      <c r="Q286" s="675"/>
    </row>
    <row r="287" spans="2:17">
      <c r="B287" s="332"/>
      <c r="C287" s="723">
        <f>IF(D268="","-",+C286+1)</f>
        <v>2027</v>
      </c>
      <c r="D287" s="674">
        <f t="shared" si="30"/>
        <v>20963861.848369572</v>
      </c>
      <c r="E287" s="730">
        <f t="shared" si="31"/>
        <v>621151.46217391302</v>
      </c>
      <c r="F287" s="730">
        <f t="shared" si="24"/>
        <v>20342710.38619566</v>
      </c>
      <c r="G287" s="674">
        <f t="shared" si="25"/>
        <v>20653286.117282614</v>
      </c>
      <c r="H287" s="724">
        <f>+J269*G287+E287</f>
        <v>2706378.2976294556</v>
      </c>
      <c r="I287" s="731">
        <f>+J270*G287+E287</f>
        <v>2706378.2976294556</v>
      </c>
      <c r="J287" s="727">
        <f t="shared" si="26"/>
        <v>0</v>
      </c>
      <c r="K287" s="727"/>
      <c r="L287" s="732"/>
      <c r="M287" s="727">
        <f t="shared" si="27"/>
        <v>0</v>
      </c>
      <c r="N287" s="732"/>
      <c r="O287" s="727">
        <f t="shared" si="28"/>
        <v>0</v>
      </c>
      <c r="P287" s="727">
        <f t="shared" si="29"/>
        <v>0</v>
      </c>
      <c r="Q287" s="675"/>
    </row>
    <row r="288" spans="2:17">
      <c r="B288" s="332"/>
      <c r="C288" s="723">
        <f>IF(D268="","-",+C287+1)</f>
        <v>2028</v>
      </c>
      <c r="D288" s="674">
        <f t="shared" si="30"/>
        <v>20342710.38619566</v>
      </c>
      <c r="E288" s="730">
        <f t="shared" si="31"/>
        <v>621151.46217391302</v>
      </c>
      <c r="F288" s="730">
        <f t="shared" si="24"/>
        <v>19721558.924021747</v>
      </c>
      <c r="G288" s="674">
        <f t="shared" si="25"/>
        <v>20032134.655108705</v>
      </c>
      <c r="H288" s="724">
        <f>+J269*G288+E288</f>
        <v>2643664.708593199</v>
      </c>
      <c r="I288" s="731">
        <f>+J270*G288+E288</f>
        <v>2643664.708593199</v>
      </c>
      <c r="J288" s="727">
        <f t="shared" si="26"/>
        <v>0</v>
      </c>
      <c r="K288" s="727"/>
      <c r="L288" s="732"/>
      <c r="M288" s="727">
        <f t="shared" si="27"/>
        <v>0</v>
      </c>
      <c r="N288" s="732"/>
      <c r="O288" s="727">
        <f t="shared" si="28"/>
        <v>0</v>
      </c>
      <c r="P288" s="727">
        <f t="shared" si="29"/>
        <v>0</v>
      </c>
      <c r="Q288" s="675"/>
    </row>
    <row r="289" spans="2:17">
      <c r="B289" s="332"/>
      <c r="C289" s="723">
        <f>IF(D268="","-",+C288+1)</f>
        <v>2029</v>
      </c>
      <c r="D289" s="674">
        <f t="shared" si="30"/>
        <v>19721558.924021747</v>
      </c>
      <c r="E289" s="730">
        <f t="shared" si="31"/>
        <v>621151.46217391302</v>
      </c>
      <c r="F289" s="730">
        <f t="shared" si="24"/>
        <v>19100407.461847834</v>
      </c>
      <c r="G289" s="674">
        <f t="shared" si="25"/>
        <v>19410983.192934789</v>
      </c>
      <c r="H289" s="724">
        <f>+J269*G289+E289</f>
        <v>2580951.119556942</v>
      </c>
      <c r="I289" s="731">
        <f>+J270*G289+E289</f>
        <v>2580951.119556942</v>
      </c>
      <c r="J289" s="727">
        <f t="shared" si="26"/>
        <v>0</v>
      </c>
      <c r="K289" s="727"/>
      <c r="L289" s="732"/>
      <c r="M289" s="727">
        <f t="shared" si="27"/>
        <v>0</v>
      </c>
      <c r="N289" s="732"/>
      <c r="O289" s="727">
        <f t="shared" si="28"/>
        <v>0</v>
      </c>
      <c r="P289" s="727">
        <f t="shared" si="29"/>
        <v>0</v>
      </c>
      <c r="Q289" s="675"/>
    </row>
    <row r="290" spans="2:17">
      <c r="B290" s="332"/>
      <c r="C290" s="723">
        <f>IF(D268="","-",+C289+1)</f>
        <v>2030</v>
      </c>
      <c r="D290" s="674">
        <f t="shared" si="30"/>
        <v>19100407.461847834</v>
      </c>
      <c r="E290" s="730">
        <f t="shared" si="31"/>
        <v>621151.46217391302</v>
      </c>
      <c r="F290" s="730">
        <f t="shared" si="24"/>
        <v>18479255.999673922</v>
      </c>
      <c r="G290" s="674">
        <f t="shared" si="25"/>
        <v>18789831.73076088</v>
      </c>
      <c r="H290" s="724">
        <f>+J269*G290+E290</f>
        <v>2518237.5305206855</v>
      </c>
      <c r="I290" s="731">
        <f>+J270*G290+E290</f>
        <v>2518237.5305206855</v>
      </c>
      <c r="J290" s="727">
        <f t="shared" si="26"/>
        <v>0</v>
      </c>
      <c r="K290" s="727"/>
      <c r="L290" s="732"/>
      <c r="M290" s="727">
        <f t="shared" si="27"/>
        <v>0</v>
      </c>
      <c r="N290" s="732"/>
      <c r="O290" s="727">
        <f t="shared" si="28"/>
        <v>0</v>
      </c>
      <c r="P290" s="727">
        <f t="shared" si="29"/>
        <v>0</v>
      </c>
      <c r="Q290" s="675"/>
    </row>
    <row r="291" spans="2:17">
      <c r="B291" s="332"/>
      <c r="C291" s="723">
        <f>IF(D268="","-",+C290+1)</f>
        <v>2031</v>
      </c>
      <c r="D291" s="674">
        <f t="shared" si="30"/>
        <v>18479255.999673922</v>
      </c>
      <c r="E291" s="730">
        <f t="shared" si="31"/>
        <v>621151.46217391302</v>
      </c>
      <c r="F291" s="730">
        <f t="shared" si="24"/>
        <v>17858104.537500009</v>
      </c>
      <c r="G291" s="674">
        <f t="shared" si="25"/>
        <v>18168680.268586963</v>
      </c>
      <c r="H291" s="724">
        <f>+J269*G291+E291</f>
        <v>2455523.941484428</v>
      </c>
      <c r="I291" s="731">
        <f>+J270*G291+E291</f>
        <v>2455523.941484428</v>
      </c>
      <c r="J291" s="727">
        <f t="shared" si="26"/>
        <v>0</v>
      </c>
      <c r="K291" s="727"/>
      <c r="L291" s="732"/>
      <c r="M291" s="727">
        <f t="shared" si="27"/>
        <v>0</v>
      </c>
      <c r="N291" s="732"/>
      <c r="O291" s="727">
        <f t="shared" si="28"/>
        <v>0</v>
      </c>
      <c r="P291" s="727">
        <f t="shared" si="29"/>
        <v>0</v>
      </c>
      <c r="Q291" s="675"/>
    </row>
    <row r="292" spans="2:17">
      <c r="B292" s="332"/>
      <c r="C292" s="723">
        <f>IF(D268="","-",+C291+1)</f>
        <v>2032</v>
      </c>
      <c r="D292" s="674">
        <f t="shared" si="30"/>
        <v>17858104.537500009</v>
      </c>
      <c r="E292" s="730">
        <f t="shared" si="31"/>
        <v>621151.46217391302</v>
      </c>
      <c r="F292" s="730">
        <f t="shared" si="24"/>
        <v>17236953.075326096</v>
      </c>
      <c r="G292" s="674">
        <f t="shared" si="25"/>
        <v>17547528.806413054</v>
      </c>
      <c r="H292" s="724">
        <f>+J269*G292+E292</f>
        <v>2392810.3524481719</v>
      </c>
      <c r="I292" s="731">
        <f>+J270*G292+E292</f>
        <v>2392810.3524481719</v>
      </c>
      <c r="J292" s="727">
        <f t="shared" si="26"/>
        <v>0</v>
      </c>
      <c r="K292" s="727"/>
      <c r="L292" s="732"/>
      <c r="M292" s="727">
        <f t="shared" si="27"/>
        <v>0</v>
      </c>
      <c r="N292" s="732"/>
      <c r="O292" s="727">
        <f t="shared" si="28"/>
        <v>0</v>
      </c>
      <c r="P292" s="727">
        <f t="shared" si="29"/>
        <v>0</v>
      </c>
      <c r="Q292" s="675"/>
    </row>
    <row r="293" spans="2:17">
      <c r="B293" s="332"/>
      <c r="C293" s="723">
        <f>IF(D268="","-",+C292+1)</f>
        <v>2033</v>
      </c>
      <c r="D293" s="674">
        <f t="shared" si="30"/>
        <v>17236953.075326096</v>
      </c>
      <c r="E293" s="730">
        <f t="shared" si="31"/>
        <v>621151.46217391302</v>
      </c>
      <c r="F293" s="730">
        <f t="shared" si="24"/>
        <v>16615801.613152184</v>
      </c>
      <c r="G293" s="674">
        <f t="shared" si="25"/>
        <v>16926377.344239138</v>
      </c>
      <c r="H293" s="724">
        <f>+J269*G293+E293</f>
        <v>2330096.7634119145</v>
      </c>
      <c r="I293" s="731">
        <f>+J270*G293+E293</f>
        <v>2330096.7634119145</v>
      </c>
      <c r="J293" s="727">
        <f t="shared" si="26"/>
        <v>0</v>
      </c>
      <c r="K293" s="727"/>
      <c r="L293" s="732"/>
      <c r="M293" s="727">
        <f t="shared" si="27"/>
        <v>0</v>
      </c>
      <c r="N293" s="732"/>
      <c r="O293" s="727">
        <f t="shared" si="28"/>
        <v>0</v>
      </c>
      <c r="P293" s="727">
        <f t="shared" si="29"/>
        <v>0</v>
      </c>
      <c r="Q293" s="675"/>
    </row>
    <row r="294" spans="2:17">
      <c r="B294" s="332"/>
      <c r="C294" s="723">
        <f>IF(D268="","-",+C293+1)</f>
        <v>2034</v>
      </c>
      <c r="D294" s="674">
        <f t="shared" si="30"/>
        <v>16615801.613152184</v>
      </c>
      <c r="E294" s="730">
        <f t="shared" si="31"/>
        <v>621151.46217391302</v>
      </c>
      <c r="F294" s="730">
        <f t="shared" si="24"/>
        <v>15994650.150978271</v>
      </c>
      <c r="G294" s="674">
        <f t="shared" si="25"/>
        <v>16305225.882065227</v>
      </c>
      <c r="H294" s="724">
        <f>+J269*G294+E294</f>
        <v>2267383.1743756579</v>
      </c>
      <c r="I294" s="731">
        <f>+J270*G294+E294</f>
        <v>2267383.1743756579</v>
      </c>
      <c r="J294" s="727">
        <f t="shared" si="26"/>
        <v>0</v>
      </c>
      <c r="K294" s="727"/>
      <c r="L294" s="732"/>
      <c r="M294" s="727">
        <f t="shared" si="27"/>
        <v>0</v>
      </c>
      <c r="N294" s="732"/>
      <c r="O294" s="727">
        <f t="shared" si="28"/>
        <v>0</v>
      </c>
      <c r="P294" s="727">
        <f t="shared" si="29"/>
        <v>0</v>
      </c>
      <c r="Q294" s="675"/>
    </row>
    <row r="295" spans="2:17">
      <c r="B295" s="332"/>
      <c r="C295" s="723">
        <f>IF(D268="","-",+C294+1)</f>
        <v>2035</v>
      </c>
      <c r="D295" s="674">
        <f t="shared" si="30"/>
        <v>15994650.150978271</v>
      </c>
      <c r="E295" s="730">
        <f t="shared" si="31"/>
        <v>621151.46217391302</v>
      </c>
      <c r="F295" s="730">
        <f t="shared" si="24"/>
        <v>15373498.688804358</v>
      </c>
      <c r="G295" s="674">
        <f t="shared" si="25"/>
        <v>15684074.419891315</v>
      </c>
      <c r="H295" s="724">
        <f>+J269*G295+E295</f>
        <v>2204669.5853394009</v>
      </c>
      <c r="I295" s="731">
        <f>+J270*G295+E295</f>
        <v>2204669.5853394009</v>
      </c>
      <c r="J295" s="727">
        <f t="shared" si="26"/>
        <v>0</v>
      </c>
      <c r="K295" s="727"/>
      <c r="L295" s="732"/>
      <c r="M295" s="727">
        <f t="shared" si="27"/>
        <v>0</v>
      </c>
      <c r="N295" s="732"/>
      <c r="O295" s="727">
        <f t="shared" si="28"/>
        <v>0</v>
      </c>
      <c r="P295" s="727">
        <f t="shared" si="29"/>
        <v>0</v>
      </c>
      <c r="Q295" s="675"/>
    </row>
    <row r="296" spans="2:17">
      <c r="B296" s="332"/>
      <c r="C296" s="723">
        <f>IF(D268="","-",+C295+1)</f>
        <v>2036</v>
      </c>
      <c r="D296" s="674">
        <f t="shared" si="30"/>
        <v>15373498.688804358</v>
      </c>
      <c r="E296" s="730">
        <f t="shared" si="31"/>
        <v>621151.46217391302</v>
      </c>
      <c r="F296" s="730">
        <f t="shared" si="24"/>
        <v>14752347.226630446</v>
      </c>
      <c r="G296" s="674">
        <f t="shared" si="25"/>
        <v>15062922.957717402</v>
      </c>
      <c r="H296" s="724">
        <f>+J269*G296+E296</f>
        <v>2141955.9963031439</v>
      </c>
      <c r="I296" s="731">
        <f>+J270*G296+E296</f>
        <v>2141955.9963031439</v>
      </c>
      <c r="J296" s="727">
        <f t="shared" si="26"/>
        <v>0</v>
      </c>
      <c r="K296" s="727"/>
      <c r="L296" s="732"/>
      <c r="M296" s="727">
        <f t="shared" si="27"/>
        <v>0</v>
      </c>
      <c r="N296" s="732"/>
      <c r="O296" s="727">
        <f t="shared" si="28"/>
        <v>0</v>
      </c>
      <c r="P296" s="727">
        <f t="shared" si="29"/>
        <v>0</v>
      </c>
      <c r="Q296" s="675"/>
    </row>
    <row r="297" spans="2:17">
      <c r="B297" s="332"/>
      <c r="C297" s="723">
        <f>IF(D268="","-",+C296+1)</f>
        <v>2037</v>
      </c>
      <c r="D297" s="674">
        <f t="shared" si="30"/>
        <v>14752347.226630446</v>
      </c>
      <c r="E297" s="730">
        <f t="shared" si="31"/>
        <v>621151.46217391302</v>
      </c>
      <c r="F297" s="730">
        <f t="shared" si="24"/>
        <v>14131195.764456533</v>
      </c>
      <c r="G297" s="674">
        <f t="shared" si="25"/>
        <v>14441771.495543489</v>
      </c>
      <c r="H297" s="724">
        <f>+J269*G297+E297</f>
        <v>2079242.4072668874</v>
      </c>
      <c r="I297" s="731">
        <f>+J270*G297+E297</f>
        <v>2079242.4072668874</v>
      </c>
      <c r="J297" s="727">
        <f t="shared" si="26"/>
        <v>0</v>
      </c>
      <c r="K297" s="727"/>
      <c r="L297" s="732"/>
      <c r="M297" s="727">
        <f t="shared" si="27"/>
        <v>0</v>
      </c>
      <c r="N297" s="732"/>
      <c r="O297" s="727">
        <f t="shared" si="28"/>
        <v>0</v>
      </c>
      <c r="P297" s="727">
        <f t="shared" si="29"/>
        <v>0</v>
      </c>
      <c r="Q297" s="675"/>
    </row>
    <row r="298" spans="2:17">
      <c r="B298" s="332"/>
      <c r="C298" s="723">
        <f>IF(D268="","-",+C297+1)</f>
        <v>2038</v>
      </c>
      <c r="D298" s="674">
        <f t="shared" si="30"/>
        <v>14131195.764456533</v>
      </c>
      <c r="E298" s="730">
        <f t="shared" si="31"/>
        <v>621151.46217391302</v>
      </c>
      <c r="F298" s="730">
        <f t="shared" si="24"/>
        <v>13510044.30228262</v>
      </c>
      <c r="G298" s="674">
        <f t="shared" si="25"/>
        <v>13820620.033369577</v>
      </c>
      <c r="H298" s="724">
        <f>+J269*G298+E298</f>
        <v>2016528.8182306304</v>
      </c>
      <c r="I298" s="731">
        <f>+J270*G298+E298</f>
        <v>2016528.8182306304</v>
      </c>
      <c r="J298" s="727">
        <f t="shared" si="26"/>
        <v>0</v>
      </c>
      <c r="K298" s="727"/>
      <c r="L298" s="732"/>
      <c r="M298" s="727">
        <f t="shared" si="27"/>
        <v>0</v>
      </c>
      <c r="N298" s="732"/>
      <c r="O298" s="727">
        <f t="shared" si="28"/>
        <v>0</v>
      </c>
      <c r="P298" s="727">
        <f t="shared" si="29"/>
        <v>0</v>
      </c>
      <c r="Q298" s="675"/>
    </row>
    <row r="299" spans="2:17">
      <c r="B299" s="332"/>
      <c r="C299" s="723">
        <f>IF(D268="","-",+C298+1)</f>
        <v>2039</v>
      </c>
      <c r="D299" s="674">
        <f t="shared" si="30"/>
        <v>13510044.30228262</v>
      </c>
      <c r="E299" s="730">
        <f t="shared" si="31"/>
        <v>621151.46217391302</v>
      </c>
      <c r="F299" s="730">
        <f t="shared" si="24"/>
        <v>12888892.840108708</v>
      </c>
      <c r="G299" s="674">
        <f t="shared" si="25"/>
        <v>13199468.571195664</v>
      </c>
      <c r="H299" s="724">
        <f>+J269*G299+E299</f>
        <v>1953815.2291943734</v>
      </c>
      <c r="I299" s="731">
        <f>+J270*G299+E299</f>
        <v>1953815.2291943734</v>
      </c>
      <c r="J299" s="727">
        <f t="shared" si="26"/>
        <v>0</v>
      </c>
      <c r="K299" s="727"/>
      <c r="L299" s="732"/>
      <c r="M299" s="727">
        <f t="shared" si="27"/>
        <v>0</v>
      </c>
      <c r="N299" s="732"/>
      <c r="O299" s="727">
        <f t="shared" si="28"/>
        <v>0</v>
      </c>
      <c r="P299" s="727">
        <f t="shared" si="29"/>
        <v>0</v>
      </c>
      <c r="Q299" s="675"/>
    </row>
    <row r="300" spans="2:17">
      <c r="B300" s="332"/>
      <c r="C300" s="723">
        <f>IF(D268="","-",+C299+1)</f>
        <v>2040</v>
      </c>
      <c r="D300" s="674">
        <f t="shared" si="30"/>
        <v>12888892.840108708</v>
      </c>
      <c r="E300" s="730">
        <f t="shared" si="31"/>
        <v>621151.46217391302</v>
      </c>
      <c r="F300" s="730">
        <f t="shared" si="24"/>
        <v>12267741.377934795</v>
      </c>
      <c r="G300" s="674">
        <f t="shared" si="25"/>
        <v>12578317.109021751</v>
      </c>
      <c r="H300" s="724">
        <f>+J269*G300+E300</f>
        <v>1891101.6401581164</v>
      </c>
      <c r="I300" s="731">
        <f>+J270*G300+E300</f>
        <v>1891101.6401581164</v>
      </c>
      <c r="J300" s="727">
        <f t="shared" si="26"/>
        <v>0</v>
      </c>
      <c r="K300" s="727"/>
      <c r="L300" s="732"/>
      <c r="M300" s="727">
        <f t="shared" si="27"/>
        <v>0</v>
      </c>
      <c r="N300" s="732"/>
      <c r="O300" s="727">
        <f t="shared" si="28"/>
        <v>0</v>
      </c>
      <c r="P300" s="727">
        <f t="shared" si="29"/>
        <v>0</v>
      </c>
      <c r="Q300" s="675"/>
    </row>
    <row r="301" spans="2:17">
      <c r="B301" s="332"/>
      <c r="C301" s="723">
        <f>IF(D268="","-",+C300+1)</f>
        <v>2041</v>
      </c>
      <c r="D301" s="674">
        <f t="shared" si="30"/>
        <v>12267741.377934795</v>
      </c>
      <c r="E301" s="730">
        <f t="shared" si="31"/>
        <v>621151.46217391302</v>
      </c>
      <c r="F301" s="730">
        <f t="shared" si="24"/>
        <v>11646589.915760882</v>
      </c>
      <c r="G301" s="674">
        <f t="shared" si="25"/>
        <v>11957165.646847839</v>
      </c>
      <c r="H301" s="724">
        <f>+J269*G301+E301</f>
        <v>1828388.0511218598</v>
      </c>
      <c r="I301" s="731">
        <f>+J270*G301+E301</f>
        <v>1828388.0511218598</v>
      </c>
      <c r="J301" s="727">
        <f t="shared" si="26"/>
        <v>0</v>
      </c>
      <c r="K301" s="727"/>
      <c r="L301" s="732"/>
      <c r="M301" s="727">
        <f t="shared" si="27"/>
        <v>0</v>
      </c>
      <c r="N301" s="732"/>
      <c r="O301" s="727">
        <f t="shared" si="28"/>
        <v>0</v>
      </c>
      <c r="P301" s="727">
        <f t="shared" si="29"/>
        <v>0</v>
      </c>
      <c r="Q301" s="675"/>
    </row>
    <row r="302" spans="2:17">
      <c r="B302" s="332"/>
      <c r="C302" s="723">
        <f>IF(D268="","-",+C301+1)</f>
        <v>2042</v>
      </c>
      <c r="D302" s="674">
        <f t="shared" si="30"/>
        <v>11646589.915760882</v>
      </c>
      <c r="E302" s="730">
        <f t="shared" si="31"/>
        <v>621151.46217391302</v>
      </c>
      <c r="F302" s="730">
        <f t="shared" si="24"/>
        <v>11025438.45358697</v>
      </c>
      <c r="G302" s="674">
        <f t="shared" si="25"/>
        <v>11336014.184673926</v>
      </c>
      <c r="H302" s="724">
        <f>+J269*G302+E302</f>
        <v>1765674.4620856028</v>
      </c>
      <c r="I302" s="731">
        <f>+J270*G302+E302</f>
        <v>1765674.4620856028</v>
      </c>
      <c r="J302" s="727">
        <f t="shared" si="26"/>
        <v>0</v>
      </c>
      <c r="K302" s="727"/>
      <c r="L302" s="732"/>
      <c r="M302" s="727">
        <f t="shared" si="27"/>
        <v>0</v>
      </c>
      <c r="N302" s="732"/>
      <c r="O302" s="727">
        <f t="shared" si="28"/>
        <v>0</v>
      </c>
      <c r="P302" s="727">
        <f t="shared" si="29"/>
        <v>0</v>
      </c>
      <c r="Q302" s="675"/>
    </row>
    <row r="303" spans="2:17">
      <c r="B303" s="332"/>
      <c r="C303" s="723">
        <f>IF(D268="","-",+C302+1)</f>
        <v>2043</v>
      </c>
      <c r="D303" s="674">
        <f t="shared" si="30"/>
        <v>11025438.45358697</v>
      </c>
      <c r="E303" s="730">
        <f t="shared" si="31"/>
        <v>621151.46217391302</v>
      </c>
      <c r="F303" s="730">
        <f t="shared" si="24"/>
        <v>10404286.991413057</v>
      </c>
      <c r="G303" s="674">
        <f t="shared" si="25"/>
        <v>10714862.722500013</v>
      </c>
      <c r="H303" s="724">
        <f>+J269*G303+E303</f>
        <v>1702960.8730493458</v>
      </c>
      <c r="I303" s="731">
        <f>+J270*G303+E303</f>
        <v>1702960.8730493458</v>
      </c>
      <c r="J303" s="727">
        <f t="shared" si="26"/>
        <v>0</v>
      </c>
      <c r="K303" s="727"/>
      <c r="L303" s="732"/>
      <c r="M303" s="727">
        <f t="shared" si="27"/>
        <v>0</v>
      </c>
      <c r="N303" s="732"/>
      <c r="O303" s="727">
        <f t="shared" si="28"/>
        <v>0</v>
      </c>
      <c r="P303" s="727">
        <f t="shared" si="29"/>
        <v>0</v>
      </c>
      <c r="Q303" s="675"/>
    </row>
    <row r="304" spans="2:17">
      <c r="B304" s="332"/>
      <c r="C304" s="723">
        <f>IF(D268="","-",+C303+1)</f>
        <v>2044</v>
      </c>
      <c r="D304" s="674">
        <f t="shared" si="30"/>
        <v>10404286.991413057</v>
      </c>
      <c r="E304" s="730">
        <f t="shared" si="31"/>
        <v>621151.46217391302</v>
      </c>
      <c r="F304" s="730">
        <f t="shared" si="24"/>
        <v>9783135.5292391442</v>
      </c>
      <c r="G304" s="674">
        <f t="shared" si="25"/>
        <v>10093711.260326101</v>
      </c>
      <c r="H304" s="724">
        <f>+J269*G304+E304</f>
        <v>1640247.2840130893</v>
      </c>
      <c r="I304" s="731">
        <f>+J270*G304+E304</f>
        <v>1640247.2840130893</v>
      </c>
      <c r="J304" s="727">
        <f t="shared" si="26"/>
        <v>0</v>
      </c>
      <c r="K304" s="727"/>
      <c r="L304" s="732"/>
      <c r="M304" s="727">
        <f t="shared" si="27"/>
        <v>0</v>
      </c>
      <c r="N304" s="732"/>
      <c r="O304" s="727">
        <f t="shared" si="28"/>
        <v>0</v>
      </c>
      <c r="P304" s="727">
        <f t="shared" si="29"/>
        <v>0</v>
      </c>
      <c r="Q304" s="675"/>
    </row>
    <row r="305" spans="2:17">
      <c r="B305" s="332"/>
      <c r="C305" s="723">
        <f>IF(D268="","-",+C304+1)</f>
        <v>2045</v>
      </c>
      <c r="D305" s="674">
        <f t="shared" si="30"/>
        <v>9783135.5292391442</v>
      </c>
      <c r="E305" s="730">
        <f t="shared" si="31"/>
        <v>621151.46217391302</v>
      </c>
      <c r="F305" s="730">
        <f t="shared" si="24"/>
        <v>9161984.0670652315</v>
      </c>
      <c r="G305" s="674">
        <f t="shared" si="25"/>
        <v>9472559.7981521878</v>
      </c>
      <c r="H305" s="724">
        <f>+J269*G305+E305</f>
        <v>1577533.6949768323</v>
      </c>
      <c r="I305" s="731">
        <f>+J270*G305+E305</f>
        <v>1577533.6949768323</v>
      </c>
      <c r="J305" s="727">
        <f t="shared" si="26"/>
        <v>0</v>
      </c>
      <c r="K305" s="727"/>
      <c r="L305" s="732"/>
      <c r="M305" s="727">
        <f t="shared" si="27"/>
        <v>0</v>
      </c>
      <c r="N305" s="732"/>
      <c r="O305" s="727">
        <f t="shared" si="28"/>
        <v>0</v>
      </c>
      <c r="P305" s="727">
        <f t="shared" si="29"/>
        <v>0</v>
      </c>
      <c r="Q305" s="675"/>
    </row>
    <row r="306" spans="2:17">
      <c r="B306" s="332"/>
      <c r="C306" s="723">
        <f>IF(D268="","-",+C305+1)</f>
        <v>2046</v>
      </c>
      <c r="D306" s="674">
        <f t="shared" si="30"/>
        <v>9161984.0670652315</v>
      </c>
      <c r="E306" s="730">
        <f t="shared" si="31"/>
        <v>621151.46217391302</v>
      </c>
      <c r="F306" s="730">
        <f t="shared" si="24"/>
        <v>8540832.6048913188</v>
      </c>
      <c r="G306" s="674">
        <f t="shared" si="25"/>
        <v>8851408.3359782752</v>
      </c>
      <c r="H306" s="724">
        <f>+J269*G306+E306</f>
        <v>1514820.1059405752</v>
      </c>
      <c r="I306" s="731">
        <f>+J270*G306+E306</f>
        <v>1514820.1059405752</v>
      </c>
      <c r="J306" s="727">
        <f t="shared" si="26"/>
        <v>0</v>
      </c>
      <c r="K306" s="727"/>
      <c r="L306" s="732"/>
      <c r="M306" s="727">
        <f t="shared" si="27"/>
        <v>0</v>
      </c>
      <c r="N306" s="732"/>
      <c r="O306" s="727">
        <f t="shared" si="28"/>
        <v>0</v>
      </c>
      <c r="P306" s="727">
        <f t="shared" si="29"/>
        <v>0</v>
      </c>
      <c r="Q306" s="675"/>
    </row>
    <row r="307" spans="2:17">
      <c r="B307" s="332"/>
      <c r="C307" s="723">
        <f>IF(D268="","-",+C306+1)</f>
        <v>2047</v>
      </c>
      <c r="D307" s="674">
        <f t="shared" si="30"/>
        <v>8540832.6048913188</v>
      </c>
      <c r="E307" s="730">
        <f t="shared" si="31"/>
        <v>621151.46217391302</v>
      </c>
      <c r="F307" s="730">
        <f t="shared" si="24"/>
        <v>7919681.1427174062</v>
      </c>
      <c r="G307" s="674">
        <f t="shared" si="25"/>
        <v>8230256.8738043625</v>
      </c>
      <c r="H307" s="724">
        <f>+J269*G307+E307</f>
        <v>1452106.5169043185</v>
      </c>
      <c r="I307" s="731">
        <f>+J270*G307+E307</f>
        <v>1452106.5169043185</v>
      </c>
      <c r="J307" s="727">
        <f t="shared" si="26"/>
        <v>0</v>
      </c>
      <c r="K307" s="727"/>
      <c r="L307" s="732"/>
      <c r="M307" s="727">
        <f t="shared" si="27"/>
        <v>0</v>
      </c>
      <c r="N307" s="732"/>
      <c r="O307" s="727">
        <f t="shared" si="28"/>
        <v>0</v>
      </c>
      <c r="P307" s="727">
        <f t="shared" si="29"/>
        <v>0</v>
      </c>
      <c r="Q307" s="675"/>
    </row>
    <row r="308" spans="2:17">
      <c r="B308" s="332"/>
      <c r="C308" s="723">
        <f>IF(D268="","-",+C307+1)</f>
        <v>2048</v>
      </c>
      <c r="D308" s="674">
        <f t="shared" si="30"/>
        <v>7919681.1427174062</v>
      </c>
      <c r="E308" s="730">
        <f t="shared" si="31"/>
        <v>621151.46217391302</v>
      </c>
      <c r="F308" s="730">
        <f t="shared" si="24"/>
        <v>7298529.6805434935</v>
      </c>
      <c r="G308" s="674">
        <f t="shared" si="25"/>
        <v>7609105.4116304498</v>
      </c>
      <c r="H308" s="724">
        <f>+J269*G308+E308</f>
        <v>1389392.9278680617</v>
      </c>
      <c r="I308" s="731">
        <f>+J270*G308+E308</f>
        <v>1389392.9278680617</v>
      </c>
      <c r="J308" s="727">
        <f t="shared" si="26"/>
        <v>0</v>
      </c>
      <c r="K308" s="727"/>
      <c r="L308" s="732"/>
      <c r="M308" s="727">
        <f t="shared" si="27"/>
        <v>0</v>
      </c>
      <c r="N308" s="732"/>
      <c r="O308" s="727">
        <f t="shared" si="28"/>
        <v>0</v>
      </c>
      <c r="P308" s="727">
        <f t="shared" si="29"/>
        <v>0</v>
      </c>
      <c r="Q308" s="675"/>
    </row>
    <row r="309" spans="2:17">
      <c r="B309" s="332"/>
      <c r="C309" s="723">
        <f>IF(D268="","-",+C308+1)</f>
        <v>2049</v>
      </c>
      <c r="D309" s="674">
        <f t="shared" si="30"/>
        <v>7298529.6805434935</v>
      </c>
      <c r="E309" s="730">
        <f t="shared" si="31"/>
        <v>621151.46217391302</v>
      </c>
      <c r="F309" s="730">
        <f t="shared" si="24"/>
        <v>6677378.2183695808</v>
      </c>
      <c r="G309" s="674">
        <f t="shared" si="25"/>
        <v>6987953.9494565371</v>
      </c>
      <c r="H309" s="724">
        <f>+J269*G309+E309</f>
        <v>1326679.3388318047</v>
      </c>
      <c r="I309" s="731">
        <f>+J270*G309+E309</f>
        <v>1326679.3388318047</v>
      </c>
      <c r="J309" s="727">
        <f t="shared" si="26"/>
        <v>0</v>
      </c>
      <c r="K309" s="727"/>
      <c r="L309" s="732"/>
      <c r="M309" s="727">
        <f t="shared" si="27"/>
        <v>0</v>
      </c>
      <c r="N309" s="732"/>
      <c r="O309" s="727">
        <f t="shared" si="28"/>
        <v>0</v>
      </c>
      <c r="P309" s="727">
        <f t="shared" si="29"/>
        <v>0</v>
      </c>
      <c r="Q309" s="675"/>
    </row>
    <row r="310" spans="2:17">
      <c r="B310" s="332"/>
      <c r="C310" s="723">
        <f>IF(D268="","-",+C309+1)</f>
        <v>2050</v>
      </c>
      <c r="D310" s="674">
        <f t="shared" si="30"/>
        <v>6677378.2183695808</v>
      </c>
      <c r="E310" s="730">
        <f t="shared" si="31"/>
        <v>621151.46217391302</v>
      </c>
      <c r="F310" s="730">
        <f t="shared" si="24"/>
        <v>6056226.7561956681</v>
      </c>
      <c r="G310" s="674">
        <f t="shared" si="25"/>
        <v>6366802.4872826245</v>
      </c>
      <c r="H310" s="724">
        <f>+J269*G310+E310</f>
        <v>1263965.7497955479</v>
      </c>
      <c r="I310" s="731">
        <f>+J270*G310+E310</f>
        <v>1263965.7497955479</v>
      </c>
      <c r="J310" s="727">
        <f t="shared" si="26"/>
        <v>0</v>
      </c>
      <c r="K310" s="727"/>
      <c r="L310" s="732"/>
      <c r="M310" s="727">
        <f t="shared" si="27"/>
        <v>0</v>
      </c>
      <c r="N310" s="732"/>
      <c r="O310" s="727">
        <f t="shared" si="28"/>
        <v>0</v>
      </c>
      <c r="P310" s="727">
        <f t="shared" si="29"/>
        <v>0</v>
      </c>
      <c r="Q310" s="675"/>
    </row>
    <row r="311" spans="2:17">
      <c r="B311" s="332"/>
      <c r="C311" s="723">
        <f>IF(D268="","-",+C310+1)</f>
        <v>2051</v>
      </c>
      <c r="D311" s="674">
        <f t="shared" si="30"/>
        <v>6056226.7561956681</v>
      </c>
      <c r="E311" s="730">
        <f t="shared" si="31"/>
        <v>621151.46217391302</v>
      </c>
      <c r="F311" s="730">
        <f t="shared" si="24"/>
        <v>5435075.2940217555</v>
      </c>
      <c r="G311" s="674">
        <f t="shared" si="25"/>
        <v>5745651.0251087118</v>
      </c>
      <c r="H311" s="724">
        <f>+J269*G311+E311</f>
        <v>1201252.1607592911</v>
      </c>
      <c r="I311" s="731">
        <f>+J270*G311+E311</f>
        <v>1201252.1607592911</v>
      </c>
      <c r="J311" s="727">
        <f t="shared" si="26"/>
        <v>0</v>
      </c>
      <c r="K311" s="727"/>
      <c r="L311" s="732"/>
      <c r="M311" s="727">
        <f t="shared" si="27"/>
        <v>0</v>
      </c>
      <c r="N311" s="732"/>
      <c r="O311" s="727">
        <f t="shared" si="28"/>
        <v>0</v>
      </c>
      <c r="P311" s="727">
        <f t="shared" si="29"/>
        <v>0</v>
      </c>
      <c r="Q311" s="675"/>
    </row>
    <row r="312" spans="2:17">
      <c r="B312" s="332"/>
      <c r="C312" s="723">
        <f>IF(D268="","-",+C311+1)</f>
        <v>2052</v>
      </c>
      <c r="D312" s="674">
        <f t="shared" si="30"/>
        <v>5435075.2940217555</v>
      </c>
      <c r="E312" s="730">
        <f t="shared" si="31"/>
        <v>621151.46217391302</v>
      </c>
      <c r="F312" s="730">
        <f t="shared" si="24"/>
        <v>4813923.8318478428</v>
      </c>
      <c r="G312" s="674">
        <f t="shared" si="25"/>
        <v>5124499.5629347991</v>
      </c>
      <c r="H312" s="724">
        <f>+J269*G312+E312</f>
        <v>1138538.5717230341</v>
      </c>
      <c r="I312" s="731">
        <f>+J270*G312+E312</f>
        <v>1138538.5717230341</v>
      </c>
      <c r="J312" s="727">
        <f t="shared" si="26"/>
        <v>0</v>
      </c>
      <c r="K312" s="727"/>
      <c r="L312" s="732"/>
      <c r="M312" s="727">
        <f t="shared" si="27"/>
        <v>0</v>
      </c>
      <c r="N312" s="732"/>
      <c r="O312" s="727">
        <f t="shared" si="28"/>
        <v>0</v>
      </c>
      <c r="P312" s="727">
        <f t="shared" si="29"/>
        <v>0</v>
      </c>
      <c r="Q312" s="675"/>
    </row>
    <row r="313" spans="2:17">
      <c r="B313" s="332"/>
      <c r="C313" s="723">
        <f>IF(D268="","-",+C312+1)</f>
        <v>2053</v>
      </c>
      <c r="D313" s="674">
        <f t="shared" si="30"/>
        <v>4813923.8318478428</v>
      </c>
      <c r="E313" s="730">
        <f t="shared" si="31"/>
        <v>621151.46217391302</v>
      </c>
      <c r="F313" s="730">
        <f t="shared" si="24"/>
        <v>4192772.3696739296</v>
      </c>
      <c r="G313" s="674">
        <f t="shared" si="25"/>
        <v>4503348.1007608864</v>
      </c>
      <c r="H313" s="724">
        <f>+J269*G313+E313</f>
        <v>1075824.9826867774</v>
      </c>
      <c r="I313" s="731">
        <f>+J270*G313+E313</f>
        <v>1075824.9826867774</v>
      </c>
      <c r="J313" s="727">
        <f t="shared" si="26"/>
        <v>0</v>
      </c>
      <c r="K313" s="727"/>
      <c r="L313" s="732"/>
      <c r="M313" s="727">
        <f t="shared" si="27"/>
        <v>0</v>
      </c>
      <c r="N313" s="732"/>
      <c r="O313" s="727">
        <f t="shared" si="28"/>
        <v>0</v>
      </c>
      <c r="P313" s="727">
        <f t="shared" si="29"/>
        <v>0</v>
      </c>
      <c r="Q313" s="675"/>
    </row>
    <row r="314" spans="2:17">
      <c r="B314" s="332"/>
      <c r="C314" s="723">
        <f>IF(D268="","-",+C313+1)</f>
        <v>2054</v>
      </c>
      <c r="D314" s="674">
        <f t="shared" si="30"/>
        <v>4192772.3696739296</v>
      </c>
      <c r="E314" s="730">
        <f t="shared" si="31"/>
        <v>621151.46217391302</v>
      </c>
      <c r="F314" s="730">
        <f t="shared" si="24"/>
        <v>3571620.9075000165</v>
      </c>
      <c r="G314" s="674">
        <f t="shared" si="25"/>
        <v>3882196.6385869728</v>
      </c>
      <c r="H314" s="724">
        <f>+J269*G314+E314</f>
        <v>1013111.3936505204</v>
      </c>
      <c r="I314" s="731">
        <f>+J270*G314+E314</f>
        <v>1013111.3936505204</v>
      </c>
      <c r="J314" s="727">
        <f t="shared" si="26"/>
        <v>0</v>
      </c>
      <c r="K314" s="727"/>
      <c r="L314" s="732"/>
      <c r="M314" s="727">
        <f t="shared" si="27"/>
        <v>0</v>
      </c>
      <c r="N314" s="732"/>
      <c r="O314" s="727">
        <f t="shared" si="28"/>
        <v>0</v>
      </c>
      <c r="P314" s="727">
        <f t="shared" si="29"/>
        <v>0</v>
      </c>
      <c r="Q314" s="675"/>
    </row>
    <row r="315" spans="2:17">
      <c r="B315" s="332"/>
      <c r="C315" s="723">
        <f>IF(D268="","-",+C314+1)</f>
        <v>2055</v>
      </c>
      <c r="D315" s="674">
        <f t="shared" si="30"/>
        <v>3571620.9075000165</v>
      </c>
      <c r="E315" s="730">
        <f t="shared" si="31"/>
        <v>621151.46217391302</v>
      </c>
      <c r="F315" s="730">
        <f t="shared" si="24"/>
        <v>2950469.4453261034</v>
      </c>
      <c r="G315" s="674">
        <f t="shared" si="25"/>
        <v>3261045.1764130602</v>
      </c>
      <c r="H315" s="724">
        <f>+J269*G315+E315</f>
        <v>950397.80461426347</v>
      </c>
      <c r="I315" s="731">
        <f>+J270*G315+E315</f>
        <v>950397.80461426347</v>
      </c>
      <c r="J315" s="727">
        <f t="shared" si="26"/>
        <v>0</v>
      </c>
      <c r="K315" s="727"/>
      <c r="L315" s="732"/>
      <c r="M315" s="727">
        <f t="shared" si="27"/>
        <v>0</v>
      </c>
      <c r="N315" s="732"/>
      <c r="O315" s="727">
        <f t="shared" si="28"/>
        <v>0</v>
      </c>
      <c r="P315" s="727">
        <f t="shared" si="29"/>
        <v>0</v>
      </c>
      <c r="Q315" s="675"/>
    </row>
    <row r="316" spans="2:17">
      <c r="B316" s="332"/>
      <c r="C316" s="723">
        <f>IF(D268="","-",+C315+1)</f>
        <v>2056</v>
      </c>
      <c r="D316" s="674">
        <f t="shared" si="30"/>
        <v>2950469.4453261034</v>
      </c>
      <c r="E316" s="730">
        <f t="shared" si="31"/>
        <v>621151.46217391302</v>
      </c>
      <c r="F316" s="730">
        <f t="shared" si="24"/>
        <v>2329317.9831521902</v>
      </c>
      <c r="G316" s="674">
        <f t="shared" si="25"/>
        <v>2639893.7142391466</v>
      </c>
      <c r="H316" s="724">
        <f>+J269*G316+E316</f>
        <v>887684.21557800658</v>
      </c>
      <c r="I316" s="731">
        <f>+J270*G316+E316</f>
        <v>887684.21557800658</v>
      </c>
      <c r="J316" s="727">
        <f t="shared" si="26"/>
        <v>0</v>
      </c>
      <c r="K316" s="727"/>
      <c r="L316" s="732"/>
      <c r="M316" s="727">
        <f t="shared" si="27"/>
        <v>0</v>
      </c>
      <c r="N316" s="732"/>
      <c r="O316" s="727">
        <f t="shared" si="28"/>
        <v>0</v>
      </c>
      <c r="P316" s="727">
        <f t="shared" si="29"/>
        <v>0</v>
      </c>
      <c r="Q316" s="675"/>
    </row>
    <row r="317" spans="2:17">
      <c r="B317" s="332"/>
      <c r="C317" s="723">
        <f>IF(D268="","-",+C316+1)</f>
        <v>2057</v>
      </c>
      <c r="D317" s="674">
        <f t="shared" si="30"/>
        <v>2329317.9831521902</v>
      </c>
      <c r="E317" s="730">
        <f t="shared" si="31"/>
        <v>621151.46217391302</v>
      </c>
      <c r="F317" s="730">
        <f t="shared" si="24"/>
        <v>1708166.5209782771</v>
      </c>
      <c r="G317" s="674">
        <f t="shared" si="25"/>
        <v>2018742.2520652337</v>
      </c>
      <c r="H317" s="724">
        <f>+J269*G317+E317</f>
        <v>824970.62654174957</v>
      </c>
      <c r="I317" s="731">
        <f>+J270*G317+E317</f>
        <v>824970.62654174957</v>
      </c>
      <c r="J317" s="727">
        <f t="shared" si="26"/>
        <v>0</v>
      </c>
      <c r="K317" s="727"/>
      <c r="L317" s="732"/>
      <c r="M317" s="727">
        <f t="shared" si="27"/>
        <v>0</v>
      </c>
      <c r="N317" s="732"/>
      <c r="O317" s="727">
        <f t="shared" si="28"/>
        <v>0</v>
      </c>
      <c r="P317" s="727">
        <f t="shared" si="29"/>
        <v>0</v>
      </c>
      <c r="Q317" s="675"/>
    </row>
    <row r="318" spans="2:17">
      <c r="B318" s="332"/>
      <c r="C318" s="723">
        <f>IF(D268="","-",+C317+1)</f>
        <v>2058</v>
      </c>
      <c r="D318" s="674">
        <f t="shared" si="30"/>
        <v>1708166.5209782771</v>
      </c>
      <c r="E318" s="730">
        <f t="shared" si="31"/>
        <v>621151.46217391302</v>
      </c>
      <c r="F318" s="730">
        <f t="shared" si="24"/>
        <v>1087015.0588043639</v>
      </c>
      <c r="G318" s="674">
        <f t="shared" si="25"/>
        <v>1397590.7898913205</v>
      </c>
      <c r="H318" s="724">
        <f>+J269*G318+E318</f>
        <v>762257.03750549268</v>
      </c>
      <c r="I318" s="731">
        <f>+J270*G318+E318</f>
        <v>762257.03750549268</v>
      </c>
      <c r="J318" s="727">
        <f t="shared" si="26"/>
        <v>0</v>
      </c>
      <c r="K318" s="727"/>
      <c r="L318" s="732"/>
      <c r="M318" s="727">
        <f t="shared" si="27"/>
        <v>0</v>
      </c>
      <c r="N318" s="732"/>
      <c r="O318" s="727">
        <f t="shared" si="28"/>
        <v>0</v>
      </c>
      <c r="P318" s="727">
        <f t="shared" si="29"/>
        <v>0</v>
      </c>
      <c r="Q318" s="675"/>
    </row>
    <row r="319" spans="2:17">
      <c r="B319" s="332"/>
      <c r="C319" s="723">
        <f>IF(D268="","-",+C318+1)</f>
        <v>2059</v>
      </c>
      <c r="D319" s="674">
        <f t="shared" si="30"/>
        <v>1087015.0588043639</v>
      </c>
      <c r="E319" s="730">
        <f t="shared" si="31"/>
        <v>621151.46217391302</v>
      </c>
      <c r="F319" s="730">
        <f t="shared" si="24"/>
        <v>465863.59663045092</v>
      </c>
      <c r="G319" s="674">
        <f t="shared" si="25"/>
        <v>776439.32771740737</v>
      </c>
      <c r="H319" s="724">
        <f>+J269*G319+E319</f>
        <v>699543.44846923579</v>
      </c>
      <c r="I319" s="731">
        <f>+J270*G319+E319</f>
        <v>699543.44846923579</v>
      </c>
      <c r="J319" s="727">
        <f t="shared" si="26"/>
        <v>0</v>
      </c>
      <c r="K319" s="727"/>
      <c r="L319" s="732"/>
      <c r="M319" s="727">
        <f t="shared" si="27"/>
        <v>0</v>
      </c>
      <c r="N319" s="732"/>
      <c r="O319" s="727">
        <f t="shared" si="28"/>
        <v>0</v>
      </c>
      <c r="P319" s="727">
        <f t="shared" si="29"/>
        <v>0</v>
      </c>
      <c r="Q319" s="675"/>
    </row>
    <row r="320" spans="2:17">
      <c r="B320" s="332"/>
      <c r="C320" s="723">
        <f>IF(D268="","-",+C319+1)</f>
        <v>2060</v>
      </c>
      <c r="D320" s="674">
        <f t="shared" si="30"/>
        <v>465863.59663045092</v>
      </c>
      <c r="E320" s="730">
        <f t="shared" si="31"/>
        <v>465863.59663045092</v>
      </c>
      <c r="F320" s="730">
        <f t="shared" si="24"/>
        <v>0</v>
      </c>
      <c r="G320" s="674">
        <f t="shared" si="25"/>
        <v>232931.79831522546</v>
      </c>
      <c r="H320" s="724">
        <f>+J269*G320+E320</f>
        <v>489381.19251904805</v>
      </c>
      <c r="I320" s="731">
        <f>+J270*G320+E320</f>
        <v>489381.19251904805</v>
      </c>
      <c r="J320" s="727">
        <f t="shared" si="26"/>
        <v>0</v>
      </c>
      <c r="K320" s="727"/>
      <c r="L320" s="732"/>
      <c r="M320" s="727">
        <f t="shared" si="27"/>
        <v>0</v>
      </c>
      <c r="N320" s="732"/>
      <c r="O320" s="727">
        <f t="shared" si="28"/>
        <v>0</v>
      </c>
      <c r="P320" s="727">
        <f t="shared" si="29"/>
        <v>0</v>
      </c>
      <c r="Q320" s="675"/>
    </row>
    <row r="321" spans="2:17">
      <c r="B321" s="332"/>
      <c r="C321" s="723">
        <f>IF(D268="","-",+C320+1)</f>
        <v>2061</v>
      </c>
      <c r="D321" s="674">
        <f t="shared" si="30"/>
        <v>0</v>
      </c>
      <c r="E321" s="730">
        <f t="shared" si="31"/>
        <v>0</v>
      </c>
      <c r="F321" s="730">
        <f t="shared" si="24"/>
        <v>0</v>
      </c>
      <c r="G321" s="674">
        <f t="shared" si="25"/>
        <v>0</v>
      </c>
      <c r="H321" s="724">
        <f>+J269*G321+E321</f>
        <v>0</v>
      </c>
      <c r="I321" s="731">
        <f>+J270*G321+E321</f>
        <v>0</v>
      </c>
      <c r="J321" s="727">
        <f t="shared" si="26"/>
        <v>0</v>
      </c>
      <c r="K321" s="727"/>
      <c r="L321" s="732"/>
      <c r="M321" s="727">
        <f t="shared" si="27"/>
        <v>0</v>
      </c>
      <c r="N321" s="732"/>
      <c r="O321" s="727">
        <f t="shared" si="28"/>
        <v>0</v>
      </c>
      <c r="P321" s="727">
        <f t="shared" si="29"/>
        <v>0</v>
      </c>
      <c r="Q321" s="675"/>
    </row>
    <row r="322" spans="2:17">
      <c r="B322" s="332"/>
      <c r="C322" s="723">
        <f>IF(D268="","-",+C321+1)</f>
        <v>2062</v>
      </c>
      <c r="D322" s="674">
        <f t="shared" si="30"/>
        <v>0</v>
      </c>
      <c r="E322" s="730">
        <f t="shared" si="31"/>
        <v>0</v>
      </c>
      <c r="F322" s="730">
        <f t="shared" si="24"/>
        <v>0</v>
      </c>
      <c r="G322" s="674">
        <f t="shared" si="25"/>
        <v>0</v>
      </c>
      <c r="H322" s="724">
        <f>+J269*G322+E322</f>
        <v>0</v>
      </c>
      <c r="I322" s="731">
        <f>+J270*G322+E322</f>
        <v>0</v>
      </c>
      <c r="J322" s="727">
        <f t="shared" si="26"/>
        <v>0</v>
      </c>
      <c r="K322" s="727"/>
      <c r="L322" s="732"/>
      <c r="M322" s="727">
        <f t="shared" si="27"/>
        <v>0</v>
      </c>
      <c r="N322" s="732"/>
      <c r="O322" s="727">
        <f t="shared" si="28"/>
        <v>0</v>
      </c>
      <c r="P322" s="727">
        <f t="shared" si="29"/>
        <v>0</v>
      </c>
      <c r="Q322" s="675"/>
    </row>
    <row r="323" spans="2:17">
      <c r="B323" s="332"/>
      <c r="C323" s="723">
        <f>IF(D268="","-",+C322+1)</f>
        <v>2063</v>
      </c>
      <c r="D323" s="674">
        <f t="shared" si="30"/>
        <v>0</v>
      </c>
      <c r="E323" s="730">
        <f t="shared" si="31"/>
        <v>0</v>
      </c>
      <c r="F323" s="730">
        <f t="shared" si="24"/>
        <v>0</v>
      </c>
      <c r="G323" s="674">
        <f t="shared" si="25"/>
        <v>0</v>
      </c>
      <c r="H323" s="724">
        <f>+J269*G323+E323</f>
        <v>0</v>
      </c>
      <c r="I323" s="731">
        <f>+J270*G323+E323</f>
        <v>0</v>
      </c>
      <c r="J323" s="727">
        <f t="shared" si="26"/>
        <v>0</v>
      </c>
      <c r="K323" s="727"/>
      <c r="L323" s="732"/>
      <c r="M323" s="727">
        <f t="shared" si="27"/>
        <v>0</v>
      </c>
      <c r="N323" s="732"/>
      <c r="O323" s="727">
        <f t="shared" si="28"/>
        <v>0</v>
      </c>
      <c r="P323" s="727">
        <f t="shared" si="29"/>
        <v>0</v>
      </c>
      <c r="Q323" s="675"/>
    </row>
    <row r="324" spans="2:17">
      <c r="B324" s="332"/>
      <c r="C324" s="723">
        <f>IF(D268="","-",+C323+1)</f>
        <v>2064</v>
      </c>
      <c r="D324" s="674">
        <f t="shared" si="30"/>
        <v>0</v>
      </c>
      <c r="E324" s="730">
        <f t="shared" si="31"/>
        <v>0</v>
      </c>
      <c r="F324" s="730">
        <f t="shared" si="24"/>
        <v>0</v>
      </c>
      <c r="G324" s="674">
        <f t="shared" si="25"/>
        <v>0</v>
      </c>
      <c r="H324" s="724">
        <f>+J269*G324+E324</f>
        <v>0</v>
      </c>
      <c r="I324" s="731">
        <f>+J270*G324+E324</f>
        <v>0</v>
      </c>
      <c r="J324" s="727">
        <f t="shared" si="26"/>
        <v>0</v>
      </c>
      <c r="K324" s="727"/>
      <c r="L324" s="732"/>
      <c r="M324" s="727">
        <f t="shared" si="27"/>
        <v>0</v>
      </c>
      <c r="N324" s="732"/>
      <c r="O324" s="727">
        <f t="shared" si="28"/>
        <v>0</v>
      </c>
      <c r="P324" s="727">
        <f t="shared" si="29"/>
        <v>0</v>
      </c>
      <c r="Q324" s="675"/>
    </row>
    <row r="325" spans="2:17">
      <c r="B325" s="332"/>
      <c r="C325" s="723">
        <f>IF(D268="","-",+C324+1)</f>
        <v>2065</v>
      </c>
      <c r="D325" s="674">
        <f t="shared" si="30"/>
        <v>0</v>
      </c>
      <c r="E325" s="730">
        <f t="shared" si="31"/>
        <v>0</v>
      </c>
      <c r="F325" s="730">
        <f t="shared" si="24"/>
        <v>0</v>
      </c>
      <c r="G325" s="674">
        <f t="shared" si="25"/>
        <v>0</v>
      </c>
      <c r="H325" s="724">
        <f>+J269*G325+E325</f>
        <v>0</v>
      </c>
      <c r="I325" s="731">
        <f>+J270*G325+E325</f>
        <v>0</v>
      </c>
      <c r="J325" s="727">
        <f t="shared" si="26"/>
        <v>0</v>
      </c>
      <c r="K325" s="727"/>
      <c r="L325" s="732"/>
      <c r="M325" s="727">
        <f t="shared" si="27"/>
        <v>0</v>
      </c>
      <c r="N325" s="732"/>
      <c r="O325" s="727">
        <f t="shared" si="28"/>
        <v>0</v>
      </c>
      <c r="P325" s="727">
        <f t="shared" si="29"/>
        <v>0</v>
      </c>
      <c r="Q325" s="675"/>
    </row>
    <row r="326" spans="2:17">
      <c r="B326" s="332"/>
      <c r="C326" s="723">
        <f>IF(D268="","-",+C325+1)</f>
        <v>2066</v>
      </c>
      <c r="D326" s="674">
        <f t="shared" si="30"/>
        <v>0</v>
      </c>
      <c r="E326" s="730">
        <f t="shared" si="31"/>
        <v>0</v>
      </c>
      <c r="F326" s="730">
        <f t="shared" si="24"/>
        <v>0</v>
      </c>
      <c r="G326" s="674">
        <f t="shared" si="25"/>
        <v>0</v>
      </c>
      <c r="H326" s="724">
        <f>+J269*G326+E326</f>
        <v>0</v>
      </c>
      <c r="I326" s="731">
        <f>+J270*G326+E326</f>
        <v>0</v>
      </c>
      <c r="J326" s="727">
        <f t="shared" si="26"/>
        <v>0</v>
      </c>
      <c r="K326" s="727"/>
      <c r="L326" s="732"/>
      <c r="M326" s="727">
        <f t="shared" si="27"/>
        <v>0</v>
      </c>
      <c r="N326" s="732"/>
      <c r="O326" s="727">
        <f t="shared" si="28"/>
        <v>0</v>
      </c>
      <c r="P326" s="727">
        <f t="shared" si="29"/>
        <v>0</v>
      </c>
      <c r="Q326" s="675"/>
    </row>
    <row r="327" spans="2:17">
      <c r="B327" s="332"/>
      <c r="C327" s="723">
        <f>IF(D268="","-",+C326+1)</f>
        <v>2067</v>
      </c>
      <c r="D327" s="674">
        <f t="shared" si="30"/>
        <v>0</v>
      </c>
      <c r="E327" s="730">
        <f t="shared" si="31"/>
        <v>0</v>
      </c>
      <c r="F327" s="730">
        <f t="shared" si="24"/>
        <v>0</v>
      </c>
      <c r="G327" s="674">
        <f t="shared" si="25"/>
        <v>0</v>
      </c>
      <c r="H327" s="724">
        <f>+J269*G327+E327</f>
        <v>0</v>
      </c>
      <c r="I327" s="731">
        <f>+J270*G327+E327</f>
        <v>0</v>
      </c>
      <c r="J327" s="727">
        <f t="shared" si="26"/>
        <v>0</v>
      </c>
      <c r="K327" s="727"/>
      <c r="L327" s="732"/>
      <c r="M327" s="727">
        <f t="shared" si="27"/>
        <v>0</v>
      </c>
      <c r="N327" s="732"/>
      <c r="O327" s="727">
        <f t="shared" si="28"/>
        <v>0</v>
      </c>
      <c r="P327" s="727">
        <f t="shared" si="29"/>
        <v>0</v>
      </c>
      <c r="Q327" s="675"/>
    </row>
    <row r="328" spans="2:17">
      <c r="B328" s="332"/>
      <c r="C328" s="723">
        <f>IF(D268="","-",+C327+1)</f>
        <v>2068</v>
      </c>
      <c r="D328" s="674">
        <f t="shared" si="30"/>
        <v>0</v>
      </c>
      <c r="E328" s="730">
        <f t="shared" si="31"/>
        <v>0</v>
      </c>
      <c r="F328" s="730">
        <f t="shared" si="24"/>
        <v>0</v>
      </c>
      <c r="G328" s="674">
        <f t="shared" si="25"/>
        <v>0</v>
      </c>
      <c r="H328" s="724">
        <f>+J269*G328+E328</f>
        <v>0</v>
      </c>
      <c r="I328" s="731">
        <f>+J270*G328+E328</f>
        <v>0</v>
      </c>
      <c r="J328" s="727">
        <f t="shared" si="26"/>
        <v>0</v>
      </c>
      <c r="K328" s="727"/>
      <c r="L328" s="732"/>
      <c r="M328" s="727">
        <f t="shared" si="27"/>
        <v>0</v>
      </c>
      <c r="N328" s="732"/>
      <c r="O328" s="727">
        <f t="shared" si="28"/>
        <v>0</v>
      </c>
      <c r="P328" s="727">
        <f t="shared" si="29"/>
        <v>0</v>
      </c>
      <c r="Q328" s="675"/>
    </row>
    <row r="329" spans="2:17">
      <c r="B329" s="332"/>
      <c r="C329" s="723">
        <f>IF(D268="","-",+C328+1)</f>
        <v>2069</v>
      </c>
      <c r="D329" s="674">
        <f t="shared" si="30"/>
        <v>0</v>
      </c>
      <c r="E329" s="730">
        <f t="shared" si="31"/>
        <v>0</v>
      </c>
      <c r="F329" s="730">
        <f t="shared" si="24"/>
        <v>0</v>
      </c>
      <c r="G329" s="674">
        <f t="shared" si="25"/>
        <v>0</v>
      </c>
      <c r="H329" s="724">
        <f>+J269*G329+E329</f>
        <v>0</v>
      </c>
      <c r="I329" s="731">
        <f>+J270*G329+E329</f>
        <v>0</v>
      </c>
      <c r="J329" s="727">
        <f t="shared" si="26"/>
        <v>0</v>
      </c>
      <c r="K329" s="727"/>
      <c r="L329" s="732"/>
      <c r="M329" s="727">
        <f t="shared" si="27"/>
        <v>0</v>
      </c>
      <c r="N329" s="732"/>
      <c r="O329" s="727">
        <f t="shared" si="28"/>
        <v>0</v>
      </c>
      <c r="P329" s="727">
        <f t="shared" si="29"/>
        <v>0</v>
      </c>
      <c r="Q329" s="675"/>
    </row>
    <row r="330" spans="2:17">
      <c r="B330" s="332"/>
      <c r="C330" s="723">
        <f>IF(D268="","-",+C329+1)</f>
        <v>2070</v>
      </c>
      <c r="D330" s="674">
        <f t="shared" si="30"/>
        <v>0</v>
      </c>
      <c r="E330" s="730">
        <f t="shared" si="31"/>
        <v>0</v>
      </c>
      <c r="F330" s="730">
        <f t="shared" si="24"/>
        <v>0</v>
      </c>
      <c r="G330" s="674">
        <f t="shared" si="25"/>
        <v>0</v>
      </c>
      <c r="H330" s="724">
        <f>+J269*G330+E330</f>
        <v>0</v>
      </c>
      <c r="I330" s="731">
        <f>+J270*G330+E330</f>
        <v>0</v>
      </c>
      <c r="J330" s="727">
        <f t="shared" si="26"/>
        <v>0</v>
      </c>
      <c r="K330" s="727"/>
      <c r="L330" s="732"/>
      <c r="M330" s="727">
        <f t="shared" si="27"/>
        <v>0</v>
      </c>
      <c r="N330" s="732"/>
      <c r="O330" s="727">
        <f t="shared" si="28"/>
        <v>0</v>
      </c>
      <c r="P330" s="727">
        <f t="shared" si="29"/>
        <v>0</v>
      </c>
      <c r="Q330" s="675"/>
    </row>
    <row r="331" spans="2:17">
      <c r="B331" s="332"/>
      <c r="C331" s="723">
        <f>IF(D268="","-",+C330+1)</f>
        <v>2071</v>
      </c>
      <c r="D331" s="674">
        <f t="shared" si="30"/>
        <v>0</v>
      </c>
      <c r="E331" s="730">
        <f t="shared" si="31"/>
        <v>0</v>
      </c>
      <c r="F331" s="730">
        <f t="shared" si="24"/>
        <v>0</v>
      </c>
      <c r="G331" s="674">
        <f t="shared" si="25"/>
        <v>0</v>
      </c>
      <c r="H331" s="724">
        <f>+J269*G331+E331</f>
        <v>0</v>
      </c>
      <c r="I331" s="731">
        <f>+J270*G331+E331</f>
        <v>0</v>
      </c>
      <c r="J331" s="727">
        <f t="shared" si="26"/>
        <v>0</v>
      </c>
      <c r="K331" s="727"/>
      <c r="L331" s="732"/>
      <c r="M331" s="727">
        <f t="shared" si="27"/>
        <v>0</v>
      </c>
      <c r="N331" s="732"/>
      <c r="O331" s="727">
        <f t="shared" si="28"/>
        <v>0</v>
      </c>
      <c r="P331" s="727">
        <f t="shared" si="29"/>
        <v>0</v>
      </c>
      <c r="Q331" s="675"/>
    </row>
    <row r="332" spans="2:17">
      <c r="B332" s="332"/>
      <c r="C332" s="723">
        <f>IF(D268="","-",+C331+1)</f>
        <v>2072</v>
      </c>
      <c r="D332" s="674">
        <f t="shared" si="30"/>
        <v>0</v>
      </c>
      <c r="E332" s="730">
        <f t="shared" si="31"/>
        <v>0</v>
      </c>
      <c r="F332" s="730">
        <f t="shared" si="24"/>
        <v>0</v>
      </c>
      <c r="G332" s="674">
        <f t="shared" si="25"/>
        <v>0</v>
      </c>
      <c r="H332" s="724">
        <f>+J269*G332+E332</f>
        <v>0</v>
      </c>
      <c r="I332" s="731">
        <f>+J270*G332+E332</f>
        <v>0</v>
      </c>
      <c r="J332" s="727">
        <f t="shared" si="26"/>
        <v>0</v>
      </c>
      <c r="K332" s="727"/>
      <c r="L332" s="732"/>
      <c r="M332" s="727">
        <f t="shared" si="27"/>
        <v>0</v>
      </c>
      <c r="N332" s="732"/>
      <c r="O332" s="727">
        <f t="shared" si="28"/>
        <v>0</v>
      </c>
      <c r="P332" s="727">
        <f t="shared" si="29"/>
        <v>0</v>
      </c>
      <c r="Q332" s="675"/>
    </row>
    <row r="333" spans="2:17" ht="13.5" thickBot="1">
      <c r="B333" s="332"/>
      <c r="C333" s="735">
        <f>IF(D268="","-",+C332+1)</f>
        <v>2073</v>
      </c>
      <c r="D333" s="736">
        <f t="shared" si="30"/>
        <v>0</v>
      </c>
      <c r="E333" s="737">
        <f t="shared" si="31"/>
        <v>0</v>
      </c>
      <c r="F333" s="737">
        <f t="shared" si="24"/>
        <v>0</v>
      </c>
      <c r="G333" s="736">
        <f t="shared" si="25"/>
        <v>0</v>
      </c>
      <c r="H333" s="738">
        <f>+J269*G333+E333</f>
        <v>0</v>
      </c>
      <c r="I333" s="738">
        <f>+J270*G333+E333</f>
        <v>0</v>
      </c>
      <c r="J333" s="739">
        <f t="shared" si="26"/>
        <v>0</v>
      </c>
      <c r="K333" s="727"/>
      <c r="L333" s="740"/>
      <c r="M333" s="739">
        <f t="shared" si="27"/>
        <v>0</v>
      </c>
      <c r="N333" s="740"/>
      <c r="O333" s="739">
        <f t="shared" si="28"/>
        <v>0</v>
      </c>
      <c r="P333" s="739">
        <f t="shared" si="29"/>
        <v>0</v>
      </c>
      <c r="Q333" s="675"/>
    </row>
    <row r="334" spans="2:17">
      <c r="B334" s="332"/>
      <c r="C334" s="674" t="s">
        <v>288</v>
      </c>
      <c r="D334" s="670"/>
      <c r="E334" s="670">
        <f>SUM(E274:E333)</f>
        <v>28572967.260000002</v>
      </c>
      <c r="F334" s="670"/>
      <c r="G334" s="670"/>
      <c r="H334" s="670">
        <f>SUM(H274:H333)</f>
        <v>97087563.282110736</v>
      </c>
      <c r="I334" s="670">
        <f>SUM(I274:I333)</f>
        <v>97087563.282110736</v>
      </c>
      <c r="J334" s="670">
        <f>SUM(J274:J333)</f>
        <v>0</v>
      </c>
      <c r="K334" s="670"/>
      <c r="L334" s="670"/>
      <c r="M334" s="670"/>
      <c r="N334" s="670"/>
      <c r="O334" s="670"/>
      <c r="Q334" s="670"/>
    </row>
    <row r="335" spans="2:17">
      <c r="B335" s="332"/>
      <c r="D335" s="564"/>
      <c r="E335" s="541"/>
      <c r="F335" s="541"/>
      <c r="G335" s="541"/>
      <c r="H335" s="541"/>
      <c r="I335" s="647"/>
      <c r="J335" s="647"/>
      <c r="K335" s="670"/>
      <c r="L335" s="647"/>
      <c r="M335" s="647"/>
      <c r="N335" s="647"/>
      <c r="O335" s="647"/>
      <c r="Q335" s="670"/>
    </row>
    <row r="336" spans="2:17">
      <c r="B336" s="332"/>
      <c r="C336" s="541" t="s">
        <v>601</v>
      </c>
      <c r="D336" s="564"/>
      <c r="E336" s="541"/>
      <c r="F336" s="541"/>
      <c r="G336" s="541"/>
      <c r="H336" s="541"/>
      <c r="I336" s="647"/>
      <c r="J336" s="647"/>
      <c r="K336" s="670"/>
      <c r="L336" s="647"/>
      <c r="M336" s="647"/>
      <c r="N336" s="647"/>
      <c r="O336" s="647"/>
      <c r="Q336" s="670"/>
    </row>
    <row r="337" spans="1:17">
      <c r="B337" s="332"/>
      <c r="D337" s="564"/>
      <c r="E337" s="541"/>
      <c r="F337" s="541"/>
      <c r="G337" s="541"/>
      <c r="H337" s="541"/>
      <c r="I337" s="647"/>
      <c r="J337" s="647"/>
      <c r="K337" s="670"/>
      <c r="L337" s="647"/>
      <c r="M337" s="647"/>
      <c r="N337" s="647"/>
      <c r="O337" s="647"/>
      <c r="Q337" s="670"/>
    </row>
    <row r="338" spans="1:17">
      <c r="B338" s="332"/>
      <c r="C338" s="577" t="s">
        <v>602</v>
      </c>
      <c r="D338" s="674"/>
      <c r="E338" s="674"/>
      <c r="F338" s="674"/>
      <c r="G338" s="674"/>
      <c r="H338" s="670"/>
      <c r="I338" s="670"/>
      <c r="J338" s="675"/>
      <c r="K338" s="675"/>
      <c r="L338" s="675"/>
      <c r="M338" s="675"/>
      <c r="N338" s="675"/>
      <c r="O338" s="675"/>
      <c r="Q338" s="675"/>
    </row>
    <row r="339" spans="1:17">
      <c r="B339" s="332"/>
      <c r="C339" s="577" t="s">
        <v>476</v>
      </c>
      <c r="D339" s="674"/>
      <c r="E339" s="674"/>
      <c r="F339" s="674"/>
      <c r="G339" s="674"/>
      <c r="H339" s="670"/>
      <c r="I339" s="670"/>
      <c r="J339" s="675"/>
      <c r="K339" s="675"/>
      <c r="L339" s="675"/>
      <c r="M339" s="675"/>
      <c r="N339" s="675"/>
      <c r="O339" s="675"/>
      <c r="Q339" s="675"/>
    </row>
    <row r="340" spans="1:17">
      <c r="B340" s="332"/>
      <c r="C340" s="577" t="s">
        <v>289</v>
      </c>
      <c r="D340" s="674"/>
      <c r="E340" s="674"/>
      <c r="F340" s="674"/>
      <c r="G340" s="674"/>
      <c r="H340" s="670"/>
      <c r="I340" s="670"/>
      <c r="J340" s="675"/>
      <c r="K340" s="675"/>
      <c r="L340" s="675"/>
      <c r="M340" s="675"/>
      <c r="N340" s="675"/>
      <c r="O340" s="675"/>
      <c r="Q340" s="675"/>
    </row>
    <row r="341" spans="1:17" ht="20.25">
      <c r="A341" s="676" t="s">
        <v>770</v>
      </c>
      <c r="B341" s="541"/>
      <c r="C341" s="656"/>
      <c r="D341" s="564"/>
      <c r="E341" s="541"/>
      <c r="F341" s="646"/>
      <c r="G341" s="646"/>
      <c r="H341" s="541"/>
      <c r="I341" s="647"/>
      <c r="L341" s="677"/>
      <c r="M341" s="677"/>
      <c r="N341" s="677"/>
      <c r="O341" s="592" t="str">
        <f>"Page "&amp;SUM(Q$3:Q341)&amp;" of "</f>
        <v xml:space="preserve">Page 5 of </v>
      </c>
      <c r="P341" s="593">
        <f>COUNT(Q$8:Q$58123)</f>
        <v>16</v>
      </c>
      <c r="Q341" s="761">
        <v>1</v>
      </c>
    </row>
    <row r="342" spans="1:17">
      <c r="B342" s="541"/>
      <c r="C342" s="541"/>
      <c r="D342" s="564"/>
      <c r="E342" s="541"/>
      <c r="F342" s="541"/>
      <c r="G342" s="541"/>
      <c r="H342" s="541"/>
      <c r="I342" s="647"/>
      <c r="J342" s="541"/>
      <c r="K342" s="589"/>
      <c r="Q342" s="589"/>
    </row>
    <row r="343" spans="1:17" ht="18">
      <c r="B343" s="596" t="s">
        <v>174</v>
      </c>
      <c r="C343" s="678" t="s">
        <v>290</v>
      </c>
      <c r="D343" s="564"/>
      <c r="E343" s="541"/>
      <c r="F343" s="541"/>
      <c r="G343" s="541"/>
      <c r="H343" s="541"/>
      <c r="I343" s="647"/>
      <c r="J343" s="647"/>
      <c r="K343" s="670"/>
      <c r="L343" s="647"/>
      <c r="M343" s="647"/>
      <c r="N343" s="647"/>
      <c r="O343" s="647"/>
      <c r="Q343" s="670"/>
    </row>
    <row r="344" spans="1:17" ht="18.75">
      <c r="B344" s="596"/>
      <c r="C344" s="595"/>
      <c r="D344" s="564"/>
      <c r="E344" s="541"/>
      <c r="F344" s="541"/>
      <c r="G344" s="541"/>
      <c r="H344" s="541"/>
      <c r="I344" s="647"/>
      <c r="J344" s="647"/>
      <c r="K344" s="670"/>
      <c r="L344" s="647"/>
      <c r="M344" s="647"/>
      <c r="N344" s="647"/>
      <c r="O344" s="647"/>
      <c r="Q344" s="670"/>
    </row>
    <row r="345" spans="1:17" ht="18.75">
      <c r="B345" s="596"/>
      <c r="C345" s="595" t="s">
        <v>291</v>
      </c>
      <c r="D345" s="564"/>
      <c r="E345" s="541"/>
      <c r="F345" s="541"/>
      <c r="G345" s="541"/>
      <c r="H345" s="541"/>
      <c r="I345" s="647"/>
      <c r="J345" s="647"/>
      <c r="K345" s="670"/>
      <c r="L345" s="647"/>
      <c r="M345" s="647"/>
      <c r="N345" s="647"/>
      <c r="O345" s="647"/>
      <c r="Q345" s="670"/>
    </row>
    <row r="346" spans="1:17" ht="15.75" thickBot="1">
      <c r="B346" s="332"/>
      <c r="C346" s="398"/>
      <c r="D346" s="564"/>
      <c r="E346" s="541"/>
      <c r="F346" s="541"/>
      <c r="G346" s="541"/>
      <c r="H346" s="541"/>
      <c r="I346" s="647"/>
      <c r="J346" s="647"/>
      <c r="K346" s="670"/>
      <c r="L346" s="647"/>
      <c r="M346" s="647"/>
      <c r="N346" s="647"/>
      <c r="O346" s="647"/>
      <c r="Q346" s="670"/>
    </row>
    <row r="347" spans="1:17" ht="15.75">
      <c r="B347" s="332"/>
      <c r="C347" s="597" t="s">
        <v>292</v>
      </c>
      <c r="D347" s="564"/>
      <c r="E347" s="541"/>
      <c r="F347" s="541"/>
      <c r="G347" s="541"/>
      <c r="H347" s="870"/>
      <c r="I347" s="541" t="s">
        <v>271</v>
      </c>
      <c r="J347" s="541"/>
      <c r="K347" s="589"/>
      <c r="L347" s="762">
        <f>+J353</f>
        <v>2020</v>
      </c>
      <c r="M347" s="744" t="s">
        <v>254</v>
      </c>
      <c r="N347" s="744" t="s">
        <v>255</v>
      </c>
      <c r="O347" s="745" t="s">
        <v>256</v>
      </c>
      <c r="Q347" s="589"/>
    </row>
    <row r="348" spans="1:17" ht="15.75">
      <c r="B348" s="332"/>
      <c r="C348" s="597"/>
      <c r="D348" s="564"/>
      <c r="E348" s="541"/>
      <c r="F348" s="541"/>
      <c r="H348" s="541"/>
      <c r="I348" s="682"/>
      <c r="J348" s="682"/>
      <c r="K348" s="683"/>
      <c r="L348" s="763" t="s">
        <v>455</v>
      </c>
      <c r="M348" s="764">
        <f>VLOOKUP(J353,C360:P419,10)</f>
        <v>271872.09064445226</v>
      </c>
      <c r="N348" s="764">
        <f>VLOOKUP(J353,C360:P419,12)</f>
        <v>271872.09064445226</v>
      </c>
      <c r="O348" s="765">
        <f>+N348-M348</f>
        <v>0</v>
      </c>
      <c r="Q348" s="683"/>
    </row>
    <row r="349" spans="1:17">
      <c r="B349" s="332"/>
      <c r="C349" s="685" t="s">
        <v>293</v>
      </c>
      <c r="D349" s="1544" t="s">
        <v>977</v>
      </c>
      <c r="E349" s="1544"/>
      <c r="F349" s="1544"/>
      <c r="G349" s="1544"/>
      <c r="H349" s="881"/>
      <c r="I349" s="647"/>
      <c r="J349" s="647"/>
      <c r="K349" s="670"/>
      <c r="L349" s="763" t="s">
        <v>456</v>
      </c>
      <c r="M349" s="766">
        <f>VLOOKUP(J353,C360:P419,6)</f>
        <v>267716.7118281204</v>
      </c>
      <c r="N349" s="766">
        <f>VLOOKUP(J353,C360:P419,7)</f>
        <v>267716.7118281204</v>
      </c>
      <c r="O349" s="767">
        <f>+N349-M349</f>
        <v>0</v>
      </c>
      <c r="Q349" s="670"/>
    </row>
    <row r="350" spans="1:17" ht="13.5" thickBot="1">
      <c r="B350" s="332"/>
      <c r="C350" s="687"/>
      <c r="D350" s="688"/>
      <c r="E350" s="672"/>
      <c r="F350" s="672"/>
      <c r="G350" s="672"/>
      <c r="H350" s="689"/>
      <c r="I350" s="647"/>
      <c r="J350" s="647"/>
      <c r="K350" s="670"/>
      <c r="L350" s="708" t="s">
        <v>457</v>
      </c>
      <c r="M350" s="768">
        <f>+M349-M348</f>
        <v>-4155.3788163318532</v>
      </c>
      <c r="N350" s="768">
        <f>+N349-N348</f>
        <v>-4155.3788163318532</v>
      </c>
      <c r="O350" s="769">
        <f>+O349-O348</f>
        <v>0</v>
      </c>
      <c r="Q350" s="670"/>
    </row>
    <row r="351" spans="1:17" ht="13.5" thickBot="1">
      <c r="B351" s="332"/>
      <c r="C351" s="690"/>
      <c r="D351" s="691"/>
      <c r="E351" s="689"/>
      <c r="F351" s="689"/>
      <c r="G351" s="689"/>
      <c r="H351" s="689"/>
      <c r="I351" s="689"/>
      <c r="J351" s="689"/>
      <c r="K351" s="692"/>
      <c r="L351" s="689"/>
      <c r="M351" s="689"/>
      <c r="N351" s="689"/>
      <c r="O351" s="689"/>
      <c r="P351" s="577"/>
      <c r="Q351" s="692"/>
    </row>
    <row r="352" spans="1:17" ht="13.5" thickBot="1">
      <c r="B352" s="332"/>
      <c r="C352" s="694" t="s">
        <v>294</v>
      </c>
      <c r="D352" s="695"/>
      <c r="E352" s="695"/>
      <c r="F352" s="695"/>
      <c r="G352" s="695"/>
      <c r="H352" s="695"/>
      <c r="I352" s="695"/>
      <c r="J352" s="695"/>
      <c r="K352" s="697"/>
      <c r="P352" s="698"/>
      <c r="Q352" s="697"/>
    </row>
    <row r="353" spans="1:17" ht="15">
      <c r="A353" s="693"/>
      <c r="B353" s="332"/>
      <c r="C353" s="700" t="s">
        <v>272</v>
      </c>
      <c r="D353" s="1256">
        <v>2419909.98</v>
      </c>
      <c r="E353" s="656" t="s">
        <v>273</v>
      </c>
      <c r="H353" s="701"/>
      <c r="I353" s="701"/>
      <c r="J353" s="702">
        <f>$J$95</f>
        <v>2020</v>
      </c>
      <c r="K353" s="587"/>
      <c r="L353" s="1545" t="s">
        <v>274</v>
      </c>
      <c r="M353" s="1545"/>
      <c r="N353" s="1545"/>
      <c r="O353" s="1545"/>
      <c r="P353" s="589"/>
      <c r="Q353" s="587"/>
    </row>
    <row r="354" spans="1:17">
      <c r="A354" s="693"/>
      <c r="B354" s="332"/>
      <c r="C354" s="700" t="s">
        <v>275</v>
      </c>
      <c r="D354" s="872">
        <v>2014</v>
      </c>
      <c r="E354" s="700" t="s">
        <v>276</v>
      </c>
      <c r="F354" s="701"/>
      <c r="G354" s="701"/>
      <c r="I354" s="332"/>
      <c r="J354" s="875">
        <v>0</v>
      </c>
      <c r="K354" s="703"/>
      <c r="L354" s="670" t="s">
        <v>475</v>
      </c>
      <c r="P354" s="589"/>
      <c r="Q354" s="703"/>
    </row>
    <row r="355" spans="1:17">
      <c r="A355" s="693"/>
      <c r="B355" s="332"/>
      <c r="C355" s="700" t="s">
        <v>277</v>
      </c>
      <c r="D355" s="1257">
        <v>12</v>
      </c>
      <c r="E355" s="700" t="s">
        <v>278</v>
      </c>
      <c r="F355" s="701"/>
      <c r="G355" s="701"/>
      <c r="I355" s="332"/>
      <c r="J355" s="704">
        <f>$F$70</f>
        <v>0.1009634410531228</v>
      </c>
      <c r="K355" s="705"/>
      <c r="L355" s="541" t="str">
        <f>"          INPUT TRUE-UP ARR (WITH &amp; WITHOUT INCENTIVES) FROM EACH PRIOR YEAR"</f>
        <v xml:space="preserve">          INPUT TRUE-UP ARR (WITH &amp; WITHOUT INCENTIVES) FROM EACH PRIOR YEAR</v>
      </c>
      <c r="P355" s="589"/>
      <c r="Q355" s="705"/>
    </row>
    <row r="356" spans="1:17">
      <c r="A356" s="693"/>
      <c r="B356" s="332"/>
      <c r="C356" s="700" t="s">
        <v>279</v>
      </c>
      <c r="D356" s="706">
        <f>H79</f>
        <v>46</v>
      </c>
      <c r="E356" s="700" t="s">
        <v>280</v>
      </c>
      <c r="F356" s="701"/>
      <c r="G356" s="701"/>
      <c r="I356" s="332"/>
      <c r="J356" s="704">
        <f>IF(H347="",J355,$F$69)</f>
        <v>0.1009634410531228</v>
      </c>
      <c r="K356" s="707"/>
      <c r="L356" s="541" t="s">
        <v>362</v>
      </c>
      <c r="M356" s="707"/>
      <c r="N356" s="707"/>
      <c r="O356" s="707"/>
      <c r="P356" s="589"/>
      <c r="Q356" s="707"/>
    </row>
    <row r="357" spans="1:17" ht="13.5" thickBot="1">
      <c r="A357" s="693"/>
      <c r="B357" s="332"/>
      <c r="C357" s="700" t="s">
        <v>281</v>
      </c>
      <c r="D357" s="874" t="s">
        <v>974</v>
      </c>
      <c r="E357" s="708" t="s">
        <v>282</v>
      </c>
      <c r="F357" s="709"/>
      <c r="G357" s="709"/>
      <c r="H357" s="710"/>
      <c r="I357" s="710"/>
      <c r="J357" s="686">
        <f>IF(D353=0,0,D353/D356)</f>
        <v>52606.738695652173</v>
      </c>
      <c r="K357" s="670"/>
      <c r="L357" s="670" t="s">
        <v>363</v>
      </c>
      <c r="M357" s="670"/>
      <c r="N357" s="670"/>
      <c r="O357" s="670"/>
      <c r="P357" s="589"/>
      <c r="Q357" s="670"/>
    </row>
    <row r="358" spans="1:17" ht="38.25">
      <c r="A358" s="528"/>
      <c r="B358" s="528"/>
      <c r="C358" s="711" t="s">
        <v>272</v>
      </c>
      <c r="D358" s="712" t="s">
        <v>283</v>
      </c>
      <c r="E358" s="713" t="s">
        <v>284</v>
      </c>
      <c r="F358" s="712" t="s">
        <v>285</v>
      </c>
      <c r="G358" s="712" t="s">
        <v>458</v>
      </c>
      <c r="H358" s="713" t="s">
        <v>356</v>
      </c>
      <c r="I358" s="714" t="s">
        <v>356</v>
      </c>
      <c r="J358" s="711" t="s">
        <v>295</v>
      </c>
      <c r="K358" s="715"/>
      <c r="L358" s="713" t="s">
        <v>358</v>
      </c>
      <c r="M358" s="713" t="s">
        <v>364</v>
      </c>
      <c r="N358" s="713" t="s">
        <v>358</v>
      </c>
      <c r="O358" s="713" t="s">
        <v>366</v>
      </c>
      <c r="P358" s="713" t="s">
        <v>286</v>
      </c>
      <c r="Q358" s="716"/>
    </row>
    <row r="359" spans="1:17" ht="13.5" thickBot="1">
      <c r="B359" s="332"/>
      <c r="C359" s="717" t="s">
        <v>177</v>
      </c>
      <c r="D359" s="718" t="s">
        <v>178</v>
      </c>
      <c r="E359" s="717" t="s">
        <v>37</v>
      </c>
      <c r="F359" s="718" t="s">
        <v>178</v>
      </c>
      <c r="G359" s="718" t="s">
        <v>178</v>
      </c>
      <c r="H359" s="719" t="s">
        <v>298</v>
      </c>
      <c r="I359" s="720" t="s">
        <v>300</v>
      </c>
      <c r="J359" s="721" t="s">
        <v>389</v>
      </c>
      <c r="K359" s="722"/>
      <c r="L359" s="719" t="s">
        <v>287</v>
      </c>
      <c r="M359" s="719" t="s">
        <v>287</v>
      </c>
      <c r="N359" s="719" t="s">
        <v>467</v>
      </c>
      <c r="O359" s="719" t="s">
        <v>467</v>
      </c>
      <c r="P359" s="719" t="s">
        <v>467</v>
      </c>
      <c r="Q359" s="587"/>
    </row>
    <row r="360" spans="1:17">
      <c r="B360" s="332"/>
      <c r="C360" s="723">
        <f>IF(D354= "","-",D354)</f>
        <v>2014</v>
      </c>
      <c r="D360" s="674">
        <f>+D353</f>
        <v>2419909.98</v>
      </c>
      <c r="E360" s="724">
        <f>+J357/12*(12-D355)</f>
        <v>0</v>
      </c>
      <c r="F360" s="770">
        <f t="shared" ref="F360:F419" si="32">+D360-E360</f>
        <v>2419909.98</v>
      </c>
      <c r="G360" s="674">
        <f t="shared" ref="G360:G419" si="33">+(D360+F360)/2</f>
        <v>2419909.98</v>
      </c>
      <c r="H360" s="725">
        <f>+J355*G360+E360</f>
        <v>244322.43861959357</v>
      </c>
      <c r="I360" s="726">
        <f>+J356*G360+E360</f>
        <v>244322.43861959357</v>
      </c>
      <c r="J360" s="727">
        <f t="shared" ref="J360:J419" si="34">+I360-H360</f>
        <v>0</v>
      </c>
      <c r="K360" s="727"/>
      <c r="L360" s="728">
        <v>222712</v>
      </c>
      <c r="M360" s="771">
        <f t="shared" ref="M360:M419" si="35">IF(L360&lt;&gt;0,+H360-L360,0)</f>
        <v>21610.438619593566</v>
      </c>
      <c r="N360" s="728">
        <v>222712</v>
      </c>
      <c r="O360" s="771">
        <f t="shared" ref="O360:O419" si="36">IF(N360&lt;&gt;0,+I360-N360,0)</f>
        <v>21610.438619593566</v>
      </c>
      <c r="P360" s="771">
        <f t="shared" ref="P360:P419" si="37">+O360-M360</f>
        <v>0</v>
      </c>
      <c r="Q360" s="675"/>
    </row>
    <row r="361" spans="1:17">
      <c r="B361" s="332"/>
      <c r="C361" s="723">
        <f>IF(D354="","-",+C360+1)</f>
        <v>2015</v>
      </c>
      <c r="D361" s="674">
        <f t="shared" ref="D361:D419" si="38">F360</f>
        <v>2419909.98</v>
      </c>
      <c r="E361" s="730">
        <f>IF(D361&gt;$J$357,$J$357,D361)</f>
        <v>52606.738695652173</v>
      </c>
      <c r="F361" s="730">
        <f t="shared" si="32"/>
        <v>2367303.2413043478</v>
      </c>
      <c r="G361" s="674">
        <f t="shared" si="33"/>
        <v>2393606.6106521739</v>
      </c>
      <c r="H361" s="724">
        <f>+J355*G361+E361</f>
        <v>294273.49863459799</v>
      </c>
      <c r="I361" s="731">
        <f>+J356*G361+E361</f>
        <v>294273.49863459799</v>
      </c>
      <c r="J361" s="727">
        <f t="shared" si="34"/>
        <v>0</v>
      </c>
      <c r="K361" s="727"/>
      <c r="L361" s="732">
        <v>317491</v>
      </c>
      <c r="M361" s="727">
        <f t="shared" si="35"/>
        <v>-23217.501365402015</v>
      </c>
      <c r="N361" s="732">
        <v>317491</v>
      </c>
      <c r="O361" s="727">
        <f t="shared" si="36"/>
        <v>-23217.501365402015</v>
      </c>
      <c r="P361" s="727">
        <f t="shared" si="37"/>
        <v>0</v>
      </c>
      <c r="Q361" s="675"/>
    </row>
    <row r="362" spans="1:17">
      <c r="B362" s="332"/>
      <c r="C362" s="723">
        <f>IF(D354="","-",+C361+1)</f>
        <v>2016</v>
      </c>
      <c r="D362" s="674">
        <f t="shared" si="38"/>
        <v>2367303.2413043478</v>
      </c>
      <c r="E362" s="730">
        <f t="shared" ref="E362:E419" si="39">IF(D362&gt;$J$357,$J$357,D362)</f>
        <v>52606.738695652173</v>
      </c>
      <c r="F362" s="730">
        <f t="shared" si="32"/>
        <v>2314696.5026086955</v>
      </c>
      <c r="G362" s="674">
        <f t="shared" si="33"/>
        <v>2340999.8719565216</v>
      </c>
      <c r="H362" s="724">
        <f>+J355*G362+E362</f>
        <v>288962.14127330249</v>
      </c>
      <c r="I362" s="731">
        <f>+J356*G362+E362</f>
        <v>288962.14127330249</v>
      </c>
      <c r="J362" s="727">
        <f t="shared" si="34"/>
        <v>0</v>
      </c>
      <c r="K362" s="727"/>
      <c r="L362" s="732">
        <v>303455</v>
      </c>
      <c r="M362" s="727">
        <f t="shared" si="35"/>
        <v>-14492.858726697508</v>
      </c>
      <c r="N362" s="732">
        <v>303455</v>
      </c>
      <c r="O362" s="727">
        <f t="shared" si="36"/>
        <v>-14492.858726697508</v>
      </c>
      <c r="P362" s="727">
        <f t="shared" si="37"/>
        <v>0</v>
      </c>
      <c r="Q362" s="675"/>
    </row>
    <row r="363" spans="1:17">
      <c r="B363" s="332"/>
      <c r="C363" s="723">
        <f>IF(D354="","-",+C362+1)</f>
        <v>2017</v>
      </c>
      <c r="D363" s="674">
        <f t="shared" si="38"/>
        <v>2314696.5026086955</v>
      </c>
      <c r="E363" s="730">
        <f t="shared" si="39"/>
        <v>52606.738695652173</v>
      </c>
      <c r="F363" s="730">
        <f t="shared" si="32"/>
        <v>2262089.7639130433</v>
      </c>
      <c r="G363" s="674">
        <f t="shared" si="33"/>
        <v>2288393.1332608694</v>
      </c>
      <c r="H363" s="724">
        <f>+J355*G363+E363</f>
        <v>283650.78391200694</v>
      </c>
      <c r="I363" s="731">
        <f>+J356*G363+E363</f>
        <v>283650.78391200694</v>
      </c>
      <c r="J363" s="727">
        <f t="shared" si="34"/>
        <v>0</v>
      </c>
      <c r="K363" s="727"/>
      <c r="L363" s="732">
        <v>308414</v>
      </c>
      <c r="M363" s="727">
        <f t="shared" si="35"/>
        <v>-24763.21608799306</v>
      </c>
      <c r="N363" s="732">
        <v>308414</v>
      </c>
      <c r="O363" s="727">
        <f t="shared" si="36"/>
        <v>-24763.21608799306</v>
      </c>
      <c r="P363" s="727">
        <f t="shared" si="37"/>
        <v>0</v>
      </c>
      <c r="Q363" s="675"/>
    </row>
    <row r="364" spans="1:17">
      <c r="B364" s="332"/>
      <c r="C364" s="723">
        <f>IF(D354="","-",+C363+1)</f>
        <v>2018</v>
      </c>
      <c r="D364" s="1453">
        <f t="shared" si="38"/>
        <v>2262089.7639130433</v>
      </c>
      <c r="E364" s="730">
        <f t="shared" si="39"/>
        <v>52606.738695652173</v>
      </c>
      <c r="F364" s="730">
        <f t="shared" si="32"/>
        <v>2209483.0252173911</v>
      </c>
      <c r="G364" s="674">
        <f t="shared" si="33"/>
        <v>2235786.3945652172</v>
      </c>
      <c r="H364" s="724">
        <f>+J355*G364+E364</f>
        <v>278339.42655071145</v>
      </c>
      <c r="I364" s="731">
        <f>+J356*G364+E364</f>
        <v>278339.42655071145</v>
      </c>
      <c r="J364" s="727">
        <f t="shared" si="34"/>
        <v>0</v>
      </c>
      <c r="K364" s="727"/>
      <c r="L364" s="732">
        <v>292574</v>
      </c>
      <c r="M364" s="727">
        <f t="shared" si="35"/>
        <v>-14234.573449288553</v>
      </c>
      <c r="N364" s="732">
        <v>292574</v>
      </c>
      <c r="O364" s="727">
        <f t="shared" si="36"/>
        <v>-14234.573449288553</v>
      </c>
      <c r="P364" s="727">
        <f t="shared" si="37"/>
        <v>0</v>
      </c>
      <c r="Q364" s="675"/>
    </row>
    <row r="365" spans="1:17">
      <c r="B365" s="332"/>
      <c r="C365" s="723">
        <f>IF(D354="","-",+C364+1)</f>
        <v>2019</v>
      </c>
      <c r="D365" s="674">
        <f t="shared" si="38"/>
        <v>2209483.0252173911</v>
      </c>
      <c r="E365" s="730">
        <f t="shared" si="39"/>
        <v>52606.738695652173</v>
      </c>
      <c r="F365" s="730">
        <f t="shared" si="32"/>
        <v>2156876.2865217389</v>
      </c>
      <c r="G365" s="674">
        <f t="shared" si="33"/>
        <v>2183179.655869565</v>
      </c>
      <c r="H365" s="724">
        <f>+J355*G365+E365</f>
        <v>273028.0691894159</v>
      </c>
      <c r="I365" s="731">
        <f>+J356*G365+E365</f>
        <v>273028.0691894159</v>
      </c>
      <c r="J365" s="727">
        <f t="shared" si="34"/>
        <v>0</v>
      </c>
      <c r="K365" s="727"/>
      <c r="L365" s="732">
        <v>285739</v>
      </c>
      <c r="M365" s="727">
        <f t="shared" si="35"/>
        <v>-12710.930810584105</v>
      </c>
      <c r="N365" s="732">
        <v>285739</v>
      </c>
      <c r="O365" s="727">
        <f t="shared" si="36"/>
        <v>-12710.930810584105</v>
      </c>
      <c r="P365" s="727">
        <f t="shared" si="37"/>
        <v>0</v>
      </c>
      <c r="Q365" s="675"/>
    </row>
    <row r="366" spans="1:17">
      <c r="B366" s="332"/>
      <c r="C366" s="723">
        <f>IF(D354="","-",+C365+1)</f>
        <v>2020</v>
      </c>
      <c r="D366" s="674">
        <f t="shared" si="38"/>
        <v>2156876.2865217389</v>
      </c>
      <c r="E366" s="730">
        <f t="shared" si="39"/>
        <v>52606.738695652173</v>
      </c>
      <c r="F366" s="730">
        <f t="shared" si="32"/>
        <v>2104269.5478260866</v>
      </c>
      <c r="G366" s="674">
        <f t="shared" si="33"/>
        <v>2130572.9171739127</v>
      </c>
      <c r="H366" s="724">
        <f>+J355*G366+E366</f>
        <v>267716.7118281204</v>
      </c>
      <c r="I366" s="731">
        <f>+J356*G366+E366</f>
        <v>267716.7118281204</v>
      </c>
      <c r="J366" s="727">
        <f t="shared" si="34"/>
        <v>0</v>
      </c>
      <c r="K366" s="727"/>
      <c r="L366" s="732">
        <v>271872.09064445226</v>
      </c>
      <c r="M366" s="727">
        <f t="shared" si="35"/>
        <v>-4155.3788163318532</v>
      </c>
      <c r="N366" s="732">
        <v>271872.09064445226</v>
      </c>
      <c r="O366" s="727">
        <f t="shared" si="36"/>
        <v>-4155.3788163318532</v>
      </c>
      <c r="P366" s="727">
        <f t="shared" si="37"/>
        <v>0</v>
      </c>
      <c r="Q366" s="675"/>
    </row>
    <row r="367" spans="1:17">
      <c r="B367" s="332"/>
      <c r="C367" s="723">
        <f>IF(D354="","-",+C366+1)</f>
        <v>2021</v>
      </c>
      <c r="D367" s="674">
        <f t="shared" si="38"/>
        <v>2104269.5478260866</v>
      </c>
      <c r="E367" s="730">
        <f t="shared" si="39"/>
        <v>52606.738695652173</v>
      </c>
      <c r="F367" s="730">
        <f t="shared" si="32"/>
        <v>2051662.8091304344</v>
      </c>
      <c r="G367" s="674">
        <f t="shared" si="33"/>
        <v>2077966.1784782605</v>
      </c>
      <c r="H367" s="724">
        <f>+J355*G367+E367</f>
        <v>262405.35446682491</v>
      </c>
      <c r="I367" s="731">
        <f>+J356*G367+E367</f>
        <v>262405.35446682491</v>
      </c>
      <c r="J367" s="727">
        <f t="shared" si="34"/>
        <v>0</v>
      </c>
      <c r="K367" s="727"/>
      <c r="L367" s="732">
        <v>0</v>
      </c>
      <c r="M367" s="727">
        <f t="shared" si="35"/>
        <v>0</v>
      </c>
      <c r="N367" s="732">
        <v>0</v>
      </c>
      <c r="O367" s="727">
        <f t="shared" si="36"/>
        <v>0</v>
      </c>
      <c r="P367" s="727">
        <f t="shared" si="37"/>
        <v>0</v>
      </c>
      <c r="Q367" s="675"/>
    </row>
    <row r="368" spans="1:17">
      <c r="B368" s="332"/>
      <c r="C368" s="723">
        <f>IF(D354="","-",+C367+1)</f>
        <v>2022</v>
      </c>
      <c r="D368" s="674">
        <f t="shared" si="38"/>
        <v>2051662.8091304344</v>
      </c>
      <c r="E368" s="730">
        <f t="shared" si="39"/>
        <v>52606.738695652173</v>
      </c>
      <c r="F368" s="730">
        <f t="shared" si="32"/>
        <v>1999056.0704347822</v>
      </c>
      <c r="G368" s="674">
        <f t="shared" si="33"/>
        <v>2025359.4397826083</v>
      </c>
      <c r="H368" s="724">
        <f>+J355*G368+E368</f>
        <v>257093.99710552936</v>
      </c>
      <c r="I368" s="731">
        <f>+J356*G368+E368</f>
        <v>257093.99710552936</v>
      </c>
      <c r="J368" s="727">
        <f t="shared" si="34"/>
        <v>0</v>
      </c>
      <c r="K368" s="727"/>
      <c r="L368" s="732">
        <v>0</v>
      </c>
      <c r="M368" s="727">
        <f t="shared" si="35"/>
        <v>0</v>
      </c>
      <c r="N368" s="732">
        <v>0</v>
      </c>
      <c r="O368" s="727">
        <f t="shared" si="36"/>
        <v>0</v>
      </c>
      <c r="P368" s="727">
        <f t="shared" si="37"/>
        <v>0</v>
      </c>
      <c r="Q368" s="675"/>
    </row>
    <row r="369" spans="2:17">
      <c r="B369" s="332"/>
      <c r="C369" s="723">
        <f>IF(D354="","-",+C368+1)</f>
        <v>2023</v>
      </c>
      <c r="D369" s="674">
        <f t="shared" si="38"/>
        <v>1999056.0704347822</v>
      </c>
      <c r="E369" s="730">
        <f t="shared" si="39"/>
        <v>52606.738695652173</v>
      </c>
      <c r="F369" s="730">
        <f t="shared" si="32"/>
        <v>1946449.33173913</v>
      </c>
      <c r="G369" s="674">
        <f t="shared" si="33"/>
        <v>1972752.7010869561</v>
      </c>
      <c r="H369" s="724">
        <f>+J355*G369+E369</f>
        <v>251782.63974423383</v>
      </c>
      <c r="I369" s="731">
        <f>+J356*G369+E369</f>
        <v>251782.63974423383</v>
      </c>
      <c r="J369" s="727">
        <f t="shared" si="34"/>
        <v>0</v>
      </c>
      <c r="K369" s="727"/>
      <c r="L369" s="732">
        <v>0</v>
      </c>
      <c r="M369" s="727">
        <f t="shared" si="35"/>
        <v>0</v>
      </c>
      <c r="N369" s="732">
        <v>0</v>
      </c>
      <c r="O369" s="727">
        <f t="shared" si="36"/>
        <v>0</v>
      </c>
      <c r="P369" s="727">
        <f t="shared" si="37"/>
        <v>0</v>
      </c>
      <c r="Q369" s="675"/>
    </row>
    <row r="370" spans="2:17">
      <c r="B370" s="332"/>
      <c r="C370" s="723">
        <f>IF(D354="","-",+C369+1)</f>
        <v>2024</v>
      </c>
      <c r="D370" s="674">
        <f t="shared" si="38"/>
        <v>1946449.33173913</v>
      </c>
      <c r="E370" s="730">
        <f t="shared" si="39"/>
        <v>52606.738695652173</v>
      </c>
      <c r="F370" s="730">
        <f t="shared" si="32"/>
        <v>1893842.5930434777</v>
      </c>
      <c r="G370" s="674">
        <f t="shared" si="33"/>
        <v>1920145.9623913039</v>
      </c>
      <c r="H370" s="724">
        <f>+J355*G370+E370</f>
        <v>246471.28238293831</v>
      </c>
      <c r="I370" s="731">
        <f>+J356*G370+E370</f>
        <v>246471.28238293831</v>
      </c>
      <c r="J370" s="727">
        <f t="shared" si="34"/>
        <v>0</v>
      </c>
      <c r="K370" s="727"/>
      <c r="L370" s="732">
        <v>0</v>
      </c>
      <c r="M370" s="727">
        <f t="shared" si="35"/>
        <v>0</v>
      </c>
      <c r="N370" s="732">
        <v>0</v>
      </c>
      <c r="O370" s="727">
        <f t="shared" si="36"/>
        <v>0</v>
      </c>
      <c r="P370" s="727">
        <f t="shared" si="37"/>
        <v>0</v>
      </c>
      <c r="Q370" s="675"/>
    </row>
    <row r="371" spans="2:17">
      <c r="B371" s="332"/>
      <c r="C371" s="723">
        <f>IF(D354="","-",+C370+1)</f>
        <v>2025</v>
      </c>
      <c r="D371" s="674">
        <f t="shared" si="38"/>
        <v>1893842.5930434777</v>
      </c>
      <c r="E371" s="730">
        <f t="shared" si="39"/>
        <v>52606.738695652173</v>
      </c>
      <c r="F371" s="730">
        <f t="shared" si="32"/>
        <v>1841235.8543478255</v>
      </c>
      <c r="G371" s="674">
        <f t="shared" si="33"/>
        <v>1867539.2236956516</v>
      </c>
      <c r="H371" s="724">
        <f>+J355*G371+E371</f>
        <v>241159.92502164279</v>
      </c>
      <c r="I371" s="731">
        <f>+J356*G371+E371</f>
        <v>241159.92502164279</v>
      </c>
      <c r="J371" s="727">
        <f t="shared" si="34"/>
        <v>0</v>
      </c>
      <c r="K371" s="727"/>
      <c r="L371" s="732"/>
      <c r="M371" s="727">
        <f t="shared" si="35"/>
        <v>0</v>
      </c>
      <c r="N371" s="732"/>
      <c r="O371" s="727">
        <f t="shared" si="36"/>
        <v>0</v>
      </c>
      <c r="P371" s="727">
        <f t="shared" si="37"/>
        <v>0</v>
      </c>
      <c r="Q371" s="675"/>
    </row>
    <row r="372" spans="2:17">
      <c r="B372" s="332"/>
      <c r="C372" s="723">
        <f>IF(D354="","-",+C371+1)</f>
        <v>2026</v>
      </c>
      <c r="D372" s="674">
        <f t="shared" si="38"/>
        <v>1841235.8543478255</v>
      </c>
      <c r="E372" s="730">
        <f t="shared" si="39"/>
        <v>52606.738695652173</v>
      </c>
      <c r="F372" s="730">
        <f t="shared" si="32"/>
        <v>1788629.1156521733</v>
      </c>
      <c r="G372" s="674">
        <f t="shared" si="33"/>
        <v>1814932.4849999994</v>
      </c>
      <c r="H372" s="724">
        <f>+J355*G372+E372</f>
        <v>235848.5676603473</v>
      </c>
      <c r="I372" s="731">
        <f>+J356*G372+E372</f>
        <v>235848.5676603473</v>
      </c>
      <c r="J372" s="727">
        <f t="shared" si="34"/>
        <v>0</v>
      </c>
      <c r="K372" s="727"/>
      <c r="L372" s="732"/>
      <c r="M372" s="727">
        <f t="shared" si="35"/>
        <v>0</v>
      </c>
      <c r="N372" s="732"/>
      <c r="O372" s="727">
        <f t="shared" si="36"/>
        <v>0</v>
      </c>
      <c r="P372" s="727">
        <f t="shared" si="37"/>
        <v>0</v>
      </c>
      <c r="Q372" s="675"/>
    </row>
    <row r="373" spans="2:17">
      <c r="B373" s="332"/>
      <c r="C373" s="723">
        <f>IF(D354="","-",+C372+1)</f>
        <v>2027</v>
      </c>
      <c r="D373" s="674">
        <f t="shared" si="38"/>
        <v>1788629.1156521733</v>
      </c>
      <c r="E373" s="730">
        <f t="shared" si="39"/>
        <v>52606.738695652173</v>
      </c>
      <c r="F373" s="730">
        <f t="shared" si="32"/>
        <v>1736022.3769565211</v>
      </c>
      <c r="G373" s="674">
        <f t="shared" si="33"/>
        <v>1762325.7463043472</v>
      </c>
      <c r="H373" s="724">
        <f>+J355*G373+E373</f>
        <v>230537.21029905177</v>
      </c>
      <c r="I373" s="731">
        <f>+J356*G373+E373</f>
        <v>230537.21029905177</v>
      </c>
      <c r="J373" s="727">
        <f t="shared" si="34"/>
        <v>0</v>
      </c>
      <c r="K373" s="727"/>
      <c r="L373" s="732"/>
      <c r="M373" s="727">
        <f t="shared" si="35"/>
        <v>0</v>
      </c>
      <c r="N373" s="732"/>
      <c r="O373" s="727">
        <f t="shared" si="36"/>
        <v>0</v>
      </c>
      <c r="P373" s="727">
        <f t="shared" si="37"/>
        <v>0</v>
      </c>
      <c r="Q373" s="675"/>
    </row>
    <row r="374" spans="2:17">
      <c r="B374" s="332"/>
      <c r="C374" s="723">
        <f>IF(D354="","-",+C373+1)</f>
        <v>2028</v>
      </c>
      <c r="D374" s="674">
        <f t="shared" si="38"/>
        <v>1736022.3769565211</v>
      </c>
      <c r="E374" s="730">
        <f t="shared" si="39"/>
        <v>52606.738695652173</v>
      </c>
      <c r="F374" s="730">
        <f t="shared" si="32"/>
        <v>1683415.6382608688</v>
      </c>
      <c r="G374" s="674">
        <f t="shared" si="33"/>
        <v>1709719.007608695</v>
      </c>
      <c r="H374" s="724">
        <f>+J355*G374+E374</f>
        <v>225225.85293775625</v>
      </c>
      <c r="I374" s="731">
        <f>+J356*G374+E374</f>
        <v>225225.85293775625</v>
      </c>
      <c r="J374" s="727">
        <f t="shared" si="34"/>
        <v>0</v>
      </c>
      <c r="K374" s="727"/>
      <c r="L374" s="732"/>
      <c r="M374" s="727">
        <f t="shared" si="35"/>
        <v>0</v>
      </c>
      <c r="N374" s="732"/>
      <c r="O374" s="727">
        <f t="shared" si="36"/>
        <v>0</v>
      </c>
      <c r="P374" s="727">
        <f t="shared" si="37"/>
        <v>0</v>
      </c>
      <c r="Q374" s="675"/>
    </row>
    <row r="375" spans="2:17">
      <c r="B375" s="332"/>
      <c r="C375" s="723">
        <f>IF(D354="","-",+C374+1)</f>
        <v>2029</v>
      </c>
      <c r="D375" s="674">
        <f t="shared" si="38"/>
        <v>1683415.6382608688</v>
      </c>
      <c r="E375" s="730">
        <f t="shared" si="39"/>
        <v>52606.738695652173</v>
      </c>
      <c r="F375" s="730">
        <f t="shared" si="32"/>
        <v>1630808.8995652166</v>
      </c>
      <c r="G375" s="674">
        <f t="shared" si="33"/>
        <v>1657112.2689130427</v>
      </c>
      <c r="H375" s="724">
        <f>+J355*G375+E375</f>
        <v>219914.49557646073</v>
      </c>
      <c r="I375" s="731">
        <f>+J356*G375+E375</f>
        <v>219914.49557646073</v>
      </c>
      <c r="J375" s="727">
        <f t="shared" si="34"/>
        <v>0</v>
      </c>
      <c r="K375" s="727"/>
      <c r="L375" s="732"/>
      <c r="M375" s="727">
        <f t="shared" si="35"/>
        <v>0</v>
      </c>
      <c r="N375" s="732"/>
      <c r="O375" s="727">
        <f t="shared" si="36"/>
        <v>0</v>
      </c>
      <c r="P375" s="727">
        <f t="shared" si="37"/>
        <v>0</v>
      </c>
      <c r="Q375" s="675"/>
    </row>
    <row r="376" spans="2:17">
      <c r="B376" s="332"/>
      <c r="C376" s="723">
        <f>IF(D354="","-",+C375+1)</f>
        <v>2030</v>
      </c>
      <c r="D376" s="674">
        <f t="shared" si="38"/>
        <v>1630808.8995652166</v>
      </c>
      <c r="E376" s="730">
        <f t="shared" si="39"/>
        <v>52606.738695652173</v>
      </c>
      <c r="F376" s="730">
        <f t="shared" si="32"/>
        <v>1578202.1608695644</v>
      </c>
      <c r="G376" s="674">
        <f t="shared" si="33"/>
        <v>1604505.5302173905</v>
      </c>
      <c r="H376" s="724">
        <f>+J355*G376+E376</f>
        <v>214603.13821516521</v>
      </c>
      <c r="I376" s="731">
        <f>+J356*G376+E376</f>
        <v>214603.13821516521</v>
      </c>
      <c r="J376" s="727">
        <f t="shared" si="34"/>
        <v>0</v>
      </c>
      <c r="K376" s="727"/>
      <c r="L376" s="732"/>
      <c r="M376" s="727">
        <f t="shared" si="35"/>
        <v>0</v>
      </c>
      <c r="N376" s="732"/>
      <c r="O376" s="727">
        <f t="shared" si="36"/>
        <v>0</v>
      </c>
      <c r="P376" s="727">
        <f t="shared" si="37"/>
        <v>0</v>
      </c>
      <c r="Q376" s="675"/>
    </row>
    <row r="377" spans="2:17">
      <c r="B377" s="332"/>
      <c r="C377" s="723">
        <f>IF(D354="","-",+C376+1)</f>
        <v>2031</v>
      </c>
      <c r="D377" s="674">
        <f t="shared" si="38"/>
        <v>1578202.1608695644</v>
      </c>
      <c r="E377" s="730">
        <f t="shared" si="39"/>
        <v>52606.738695652173</v>
      </c>
      <c r="F377" s="730">
        <f t="shared" si="32"/>
        <v>1525595.4221739122</v>
      </c>
      <c r="G377" s="674">
        <f t="shared" si="33"/>
        <v>1551898.7915217383</v>
      </c>
      <c r="H377" s="724">
        <f>+J355*G377+E377</f>
        <v>209291.78085386968</v>
      </c>
      <c r="I377" s="731">
        <f>+J356*G377+E377</f>
        <v>209291.78085386968</v>
      </c>
      <c r="J377" s="727">
        <f t="shared" si="34"/>
        <v>0</v>
      </c>
      <c r="K377" s="727"/>
      <c r="L377" s="732"/>
      <c r="M377" s="727">
        <f t="shared" si="35"/>
        <v>0</v>
      </c>
      <c r="N377" s="732"/>
      <c r="O377" s="727">
        <f t="shared" si="36"/>
        <v>0</v>
      </c>
      <c r="P377" s="727">
        <f t="shared" si="37"/>
        <v>0</v>
      </c>
      <c r="Q377" s="675"/>
    </row>
    <row r="378" spans="2:17">
      <c r="B378" s="332"/>
      <c r="C378" s="723">
        <f>IF(D354="","-",+C377+1)</f>
        <v>2032</v>
      </c>
      <c r="D378" s="674">
        <f t="shared" si="38"/>
        <v>1525595.4221739122</v>
      </c>
      <c r="E378" s="730">
        <f t="shared" si="39"/>
        <v>52606.738695652173</v>
      </c>
      <c r="F378" s="730">
        <f t="shared" si="32"/>
        <v>1472988.6834782599</v>
      </c>
      <c r="G378" s="674">
        <f t="shared" si="33"/>
        <v>1499292.0528260861</v>
      </c>
      <c r="H378" s="724">
        <f>+J355*G378+E378</f>
        <v>203980.42349257419</v>
      </c>
      <c r="I378" s="731">
        <f>+J356*G378+E378</f>
        <v>203980.42349257419</v>
      </c>
      <c r="J378" s="727">
        <f t="shared" si="34"/>
        <v>0</v>
      </c>
      <c r="K378" s="727"/>
      <c r="L378" s="732"/>
      <c r="M378" s="727">
        <f t="shared" si="35"/>
        <v>0</v>
      </c>
      <c r="N378" s="732"/>
      <c r="O378" s="727">
        <f t="shared" si="36"/>
        <v>0</v>
      </c>
      <c r="P378" s="727">
        <f t="shared" si="37"/>
        <v>0</v>
      </c>
      <c r="Q378" s="675"/>
    </row>
    <row r="379" spans="2:17">
      <c r="B379" s="332"/>
      <c r="C379" s="723">
        <f>IF(D354="","-",+C378+1)</f>
        <v>2033</v>
      </c>
      <c r="D379" s="674">
        <f t="shared" si="38"/>
        <v>1472988.6834782599</v>
      </c>
      <c r="E379" s="730">
        <f t="shared" si="39"/>
        <v>52606.738695652173</v>
      </c>
      <c r="F379" s="730">
        <f t="shared" si="32"/>
        <v>1420381.9447826077</v>
      </c>
      <c r="G379" s="674">
        <f t="shared" si="33"/>
        <v>1446685.3141304338</v>
      </c>
      <c r="H379" s="724">
        <f>+J355*G379+E379</f>
        <v>198669.06613127867</v>
      </c>
      <c r="I379" s="731">
        <f>+J356*G379+E379</f>
        <v>198669.06613127867</v>
      </c>
      <c r="J379" s="727">
        <f t="shared" si="34"/>
        <v>0</v>
      </c>
      <c r="K379" s="727"/>
      <c r="L379" s="732"/>
      <c r="M379" s="727">
        <f t="shared" si="35"/>
        <v>0</v>
      </c>
      <c r="N379" s="732"/>
      <c r="O379" s="727">
        <f t="shared" si="36"/>
        <v>0</v>
      </c>
      <c r="P379" s="727">
        <f t="shared" si="37"/>
        <v>0</v>
      </c>
      <c r="Q379" s="675"/>
    </row>
    <row r="380" spans="2:17">
      <c r="B380" s="332"/>
      <c r="C380" s="723">
        <f>IF(D354="","-",+C379+1)</f>
        <v>2034</v>
      </c>
      <c r="D380" s="674">
        <f t="shared" si="38"/>
        <v>1420381.9447826077</v>
      </c>
      <c r="E380" s="730">
        <f t="shared" si="39"/>
        <v>52606.738695652173</v>
      </c>
      <c r="F380" s="730">
        <f t="shared" si="32"/>
        <v>1367775.2060869555</v>
      </c>
      <c r="G380" s="674">
        <f t="shared" si="33"/>
        <v>1394078.5754347816</v>
      </c>
      <c r="H380" s="724">
        <f>+J355*G380+E380</f>
        <v>193357.70876998315</v>
      </c>
      <c r="I380" s="731">
        <f>+J356*G380+E380</f>
        <v>193357.70876998315</v>
      </c>
      <c r="J380" s="727">
        <f t="shared" si="34"/>
        <v>0</v>
      </c>
      <c r="K380" s="727"/>
      <c r="L380" s="732"/>
      <c r="M380" s="727">
        <f t="shared" si="35"/>
        <v>0</v>
      </c>
      <c r="N380" s="732"/>
      <c r="O380" s="727">
        <f t="shared" si="36"/>
        <v>0</v>
      </c>
      <c r="P380" s="727">
        <f t="shared" si="37"/>
        <v>0</v>
      </c>
      <c r="Q380" s="675"/>
    </row>
    <row r="381" spans="2:17">
      <c r="B381" s="332"/>
      <c r="C381" s="723">
        <f>IF(D354="","-",+C380+1)</f>
        <v>2035</v>
      </c>
      <c r="D381" s="674">
        <f t="shared" si="38"/>
        <v>1367775.2060869555</v>
      </c>
      <c r="E381" s="730">
        <f t="shared" si="39"/>
        <v>52606.738695652173</v>
      </c>
      <c r="F381" s="730">
        <f t="shared" si="32"/>
        <v>1315168.4673913033</v>
      </c>
      <c r="G381" s="674">
        <f t="shared" si="33"/>
        <v>1341471.8367391294</v>
      </c>
      <c r="H381" s="724">
        <f>+J355*G381+E381</f>
        <v>188046.35140868762</v>
      </c>
      <c r="I381" s="731">
        <f>+J356*G381+E381</f>
        <v>188046.35140868762</v>
      </c>
      <c r="J381" s="727">
        <f t="shared" si="34"/>
        <v>0</v>
      </c>
      <c r="K381" s="727"/>
      <c r="L381" s="732"/>
      <c r="M381" s="727">
        <f t="shared" si="35"/>
        <v>0</v>
      </c>
      <c r="N381" s="732"/>
      <c r="O381" s="727">
        <f t="shared" si="36"/>
        <v>0</v>
      </c>
      <c r="P381" s="727">
        <f t="shared" si="37"/>
        <v>0</v>
      </c>
      <c r="Q381" s="675"/>
    </row>
    <row r="382" spans="2:17">
      <c r="B382" s="332"/>
      <c r="C382" s="723">
        <f>IF(D354="","-",+C381+1)</f>
        <v>2036</v>
      </c>
      <c r="D382" s="674">
        <f t="shared" si="38"/>
        <v>1315168.4673913033</v>
      </c>
      <c r="E382" s="730">
        <f t="shared" si="39"/>
        <v>52606.738695652173</v>
      </c>
      <c r="F382" s="730">
        <f t="shared" si="32"/>
        <v>1262561.7286956511</v>
      </c>
      <c r="G382" s="674">
        <f t="shared" si="33"/>
        <v>1288865.0980434772</v>
      </c>
      <c r="H382" s="724">
        <f>+J355*G382+E382</f>
        <v>182734.99404739213</v>
      </c>
      <c r="I382" s="731">
        <f>+J356*G382+E382</f>
        <v>182734.99404739213</v>
      </c>
      <c r="J382" s="727">
        <f t="shared" si="34"/>
        <v>0</v>
      </c>
      <c r="K382" s="727"/>
      <c r="L382" s="732"/>
      <c r="M382" s="727">
        <f t="shared" si="35"/>
        <v>0</v>
      </c>
      <c r="N382" s="732"/>
      <c r="O382" s="727">
        <f t="shared" si="36"/>
        <v>0</v>
      </c>
      <c r="P382" s="727">
        <f t="shared" si="37"/>
        <v>0</v>
      </c>
      <c r="Q382" s="675"/>
    </row>
    <row r="383" spans="2:17">
      <c r="B383" s="332"/>
      <c r="C383" s="723">
        <f>IF(D354="","-",+C382+1)</f>
        <v>2037</v>
      </c>
      <c r="D383" s="674">
        <f t="shared" si="38"/>
        <v>1262561.7286956511</v>
      </c>
      <c r="E383" s="730">
        <f t="shared" si="39"/>
        <v>52606.738695652173</v>
      </c>
      <c r="F383" s="730">
        <f t="shared" si="32"/>
        <v>1209954.9899999988</v>
      </c>
      <c r="G383" s="674">
        <f t="shared" si="33"/>
        <v>1236258.3593478249</v>
      </c>
      <c r="H383" s="724">
        <f>+J355*G383+E383</f>
        <v>177423.63668609661</v>
      </c>
      <c r="I383" s="731">
        <f>+J356*G383+E383</f>
        <v>177423.63668609661</v>
      </c>
      <c r="J383" s="727">
        <f t="shared" si="34"/>
        <v>0</v>
      </c>
      <c r="K383" s="727"/>
      <c r="L383" s="732"/>
      <c r="M383" s="727">
        <f t="shared" si="35"/>
        <v>0</v>
      </c>
      <c r="N383" s="732"/>
      <c r="O383" s="727">
        <f t="shared" si="36"/>
        <v>0</v>
      </c>
      <c r="P383" s="727">
        <f t="shared" si="37"/>
        <v>0</v>
      </c>
      <c r="Q383" s="675"/>
    </row>
    <row r="384" spans="2:17">
      <c r="B384" s="332"/>
      <c r="C384" s="723">
        <f>IF(D354="","-",+C383+1)</f>
        <v>2038</v>
      </c>
      <c r="D384" s="674">
        <f t="shared" si="38"/>
        <v>1209954.9899999988</v>
      </c>
      <c r="E384" s="730">
        <f t="shared" si="39"/>
        <v>52606.738695652173</v>
      </c>
      <c r="F384" s="730">
        <f t="shared" si="32"/>
        <v>1157348.2513043466</v>
      </c>
      <c r="G384" s="674">
        <f t="shared" si="33"/>
        <v>1183651.6206521727</v>
      </c>
      <c r="H384" s="724">
        <f>+J355*G384+E384</f>
        <v>172112.27932480109</v>
      </c>
      <c r="I384" s="731">
        <f>+J356*G384+E384</f>
        <v>172112.27932480109</v>
      </c>
      <c r="J384" s="727">
        <f t="shared" si="34"/>
        <v>0</v>
      </c>
      <c r="K384" s="727"/>
      <c r="L384" s="732"/>
      <c r="M384" s="727">
        <f t="shared" si="35"/>
        <v>0</v>
      </c>
      <c r="N384" s="732"/>
      <c r="O384" s="727">
        <f t="shared" si="36"/>
        <v>0</v>
      </c>
      <c r="P384" s="727">
        <f t="shared" si="37"/>
        <v>0</v>
      </c>
      <c r="Q384" s="675"/>
    </row>
    <row r="385" spans="2:17">
      <c r="B385" s="332"/>
      <c r="C385" s="723">
        <f>IF(D354="","-",+C384+1)</f>
        <v>2039</v>
      </c>
      <c r="D385" s="674">
        <f t="shared" si="38"/>
        <v>1157348.2513043466</v>
      </c>
      <c r="E385" s="730">
        <f t="shared" si="39"/>
        <v>52606.738695652173</v>
      </c>
      <c r="F385" s="730">
        <f t="shared" si="32"/>
        <v>1104741.5126086944</v>
      </c>
      <c r="G385" s="674">
        <f t="shared" si="33"/>
        <v>1131044.8819565205</v>
      </c>
      <c r="H385" s="724">
        <f>+J355*G385+E385</f>
        <v>166800.92196350556</v>
      </c>
      <c r="I385" s="731">
        <f>+J356*G385+E385</f>
        <v>166800.92196350556</v>
      </c>
      <c r="J385" s="727">
        <f t="shared" si="34"/>
        <v>0</v>
      </c>
      <c r="K385" s="727"/>
      <c r="L385" s="732"/>
      <c r="M385" s="727">
        <f t="shared" si="35"/>
        <v>0</v>
      </c>
      <c r="N385" s="732"/>
      <c r="O385" s="727">
        <f t="shared" si="36"/>
        <v>0</v>
      </c>
      <c r="P385" s="727">
        <f t="shared" si="37"/>
        <v>0</v>
      </c>
      <c r="Q385" s="675"/>
    </row>
    <row r="386" spans="2:17">
      <c r="B386" s="332"/>
      <c r="C386" s="723">
        <f>IF(D354="","-",+C385+1)</f>
        <v>2040</v>
      </c>
      <c r="D386" s="674">
        <f t="shared" si="38"/>
        <v>1104741.5126086944</v>
      </c>
      <c r="E386" s="730">
        <f t="shared" si="39"/>
        <v>52606.738695652173</v>
      </c>
      <c r="F386" s="730">
        <f t="shared" si="32"/>
        <v>1052134.7739130422</v>
      </c>
      <c r="G386" s="674">
        <f t="shared" si="33"/>
        <v>1078438.1432608683</v>
      </c>
      <c r="H386" s="724">
        <f>+J355*G386+E386</f>
        <v>161489.56460221004</v>
      </c>
      <c r="I386" s="731">
        <f>+J356*G386+E386</f>
        <v>161489.56460221004</v>
      </c>
      <c r="J386" s="727">
        <f t="shared" si="34"/>
        <v>0</v>
      </c>
      <c r="K386" s="727"/>
      <c r="L386" s="732"/>
      <c r="M386" s="727">
        <f t="shared" si="35"/>
        <v>0</v>
      </c>
      <c r="N386" s="732"/>
      <c r="O386" s="727">
        <f t="shared" si="36"/>
        <v>0</v>
      </c>
      <c r="P386" s="727">
        <f t="shared" si="37"/>
        <v>0</v>
      </c>
      <c r="Q386" s="675"/>
    </row>
    <row r="387" spans="2:17">
      <c r="B387" s="332"/>
      <c r="C387" s="723">
        <f>IF(D354="","-",+C386+1)</f>
        <v>2041</v>
      </c>
      <c r="D387" s="674">
        <f t="shared" si="38"/>
        <v>1052134.7739130422</v>
      </c>
      <c r="E387" s="730">
        <f t="shared" si="39"/>
        <v>52606.738695652173</v>
      </c>
      <c r="F387" s="730">
        <f t="shared" si="32"/>
        <v>999528.03521738993</v>
      </c>
      <c r="G387" s="674">
        <f t="shared" si="33"/>
        <v>1025831.404565216</v>
      </c>
      <c r="H387" s="724">
        <f>+J355*G387+E387</f>
        <v>156178.20724091452</v>
      </c>
      <c r="I387" s="731">
        <f>+J356*G387+E387</f>
        <v>156178.20724091452</v>
      </c>
      <c r="J387" s="727">
        <f t="shared" si="34"/>
        <v>0</v>
      </c>
      <c r="K387" s="727"/>
      <c r="L387" s="732"/>
      <c r="M387" s="727">
        <f t="shared" si="35"/>
        <v>0</v>
      </c>
      <c r="N387" s="732"/>
      <c r="O387" s="727">
        <f t="shared" si="36"/>
        <v>0</v>
      </c>
      <c r="P387" s="727">
        <f t="shared" si="37"/>
        <v>0</v>
      </c>
      <c r="Q387" s="675"/>
    </row>
    <row r="388" spans="2:17">
      <c r="B388" s="332"/>
      <c r="C388" s="723">
        <f>IF(D354="","-",+C387+1)</f>
        <v>2042</v>
      </c>
      <c r="D388" s="674">
        <f t="shared" si="38"/>
        <v>999528.03521738993</v>
      </c>
      <c r="E388" s="730">
        <f t="shared" si="39"/>
        <v>52606.738695652173</v>
      </c>
      <c r="F388" s="730">
        <f t="shared" si="32"/>
        <v>946921.29652173771</v>
      </c>
      <c r="G388" s="674">
        <f t="shared" si="33"/>
        <v>973224.66586956382</v>
      </c>
      <c r="H388" s="724">
        <f>+J355*G388+E388</f>
        <v>150866.84987961903</v>
      </c>
      <c r="I388" s="731">
        <f>+J356*G388+E388</f>
        <v>150866.84987961903</v>
      </c>
      <c r="J388" s="727">
        <f t="shared" si="34"/>
        <v>0</v>
      </c>
      <c r="K388" s="727"/>
      <c r="L388" s="732"/>
      <c r="M388" s="727">
        <f t="shared" si="35"/>
        <v>0</v>
      </c>
      <c r="N388" s="732"/>
      <c r="O388" s="727">
        <f t="shared" si="36"/>
        <v>0</v>
      </c>
      <c r="P388" s="727">
        <f t="shared" si="37"/>
        <v>0</v>
      </c>
      <c r="Q388" s="675"/>
    </row>
    <row r="389" spans="2:17">
      <c r="B389" s="332"/>
      <c r="C389" s="723">
        <f>IF(D354="","-",+C388+1)</f>
        <v>2043</v>
      </c>
      <c r="D389" s="674">
        <f t="shared" si="38"/>
        <v>946921.29652173771</v>
      </c>
      <c r="E389" s="730">
        <f t="shared" si="39"/>
        <v>52606.738695652173</v>
      </c>
      <c r="F389" s="730">
        <f t="shared" si="32"/>
        <v>894314.55782608548</v>
      </c>
      <c r="G389" s="674">
        <f t="shared" si="33"/>
        <v>920617.92717391159</v>
      </c>
      <c r="H389" s="724">
        <f>+J355*G389+E389</f>
        <v>145555.4925183235</v>
      </c>
      <c r="I389" s="731">
        <f>+J356*G389+E389</f>
        <v>145555.4925183235</v>
      </c>
      <c r="J389" s="727">
        <f t="shared" si="34"/>
        <v>0</v>
      </c>
      <c r="K389" s="727"/>
      <c r="L389" s="732"/>
      <c r="M389" s="727">
        <f t="shared" si="35"/>
        <v>0</v>
      </c>
      <c r="N389" s="732"/>
      <c r="O389" s="727">
        <f t="shared" si="36"/>
        <v>0</v>
      </c>
      <c r="P389" s="727">
        <f t="shared" si="37"/>
        <v>0</v>
      </c>
      <c r="Q389" s="675"/>
    </row>
    <row r="390" spans="2:17">
      <c r="B390" s="332"/>
      <c r="C390" s="723">
        <f>IF(D354="","-",+C389+1)</f>
        <v>2044</v>
      </c>
      <c r="D390" s="674">
        <f t="shared" si="38"/>
        <v>894314.55782608548</v>
      </c>
      <c r="E390" s="730">
        <f t="shared" si="39"/>
        <v>52606.738695652173</v>
      </c>
      <c r="F390" s="730">
        <f t="shared" si="32"/>
        <v>841707.81913043326</v>
      </c>
      <c r="G390" s="674">
        <f t="shared" si="33"/>
        <v>868011.18847825937</v>
      </c>
      <c r="H390" s="724">
        <f>+J355*G390+E390</f>
        <v>140244.13515702798</v>
      </c>
      <c r="I390" s="731">
        <f>+J356*G390+E390</f>
        <v>140244.13515702798</v>
      </c>
      <c r="J390" s="727">
        <f t="shared" si="34"/>
        <v>0</v>
      </c>
      <c r="K390" s="727"/>
      <c r="L390" s="732"/>
      <c r="M390" s="727">
        <f t="shared" si="35"/>
        <v>0</v>
      </c>
      <c r="N390" s="732"/>
      <c r="O390" s="727">
        <f t="shared" si="36"/>
        <v>0</v>
      </c>
      <c r="P390" s="727">
        <f t="shared" si="37"/>
        <v>0</v>
      </c>
      <c r="Q390" s="675"/>
    </row>
    <row r="391" spans="2:17">
      <c r="B391" s="332"/>
      <c r="C391" s="723">
        <f>IF(D354="","-",+C390+1)</f>
        <v>2045</v>
      </c>
      <c r="D391" s="674">
        <f t="shared" si="38"/>
        <v>841707.81913043326</v>
      </c>
      <c r="E391" s="730">
        <f t="shared" si="39"/>
        <v>52606.738695652173</v>
      </c>
      <c r="F391" s="730">
        <f t="shared" si="32"/>
        <v>789101.08043478103</v>
      </c>
      <c r="G391" s="674">
        <f t="shared" si="33"/>
        <v>815404.44978260715</v>
      </c>
      <c r="H391" s="724">
        <f>+J355*G391+E391</f>
        <v>134932.77779573246</v>
      </c>
      <c r="I391" s="731">
        <f>+J356*G391+E391</f>
        <v>134932.77779573246</v>
      </c>
      <c r="J391" s="727">
        <f t="shared" si="34"/>
        <v>0</v>
      </c>
      <c r="K391" s="727"/>
      <c r="L391" s="732"/>
      <c r="M391" s="727">
        <f t="shared" si="35"/>
        <v>0</v>
      </c>
      <c r="N391" s="732"/>
      <c r="O391" s="727">
        <f t="shared" si="36"/>
        <v>0</v>
      </c>
      <c r="P391" s="727">
        <f t="shared" si="37"/>
        <v>0</v>
      </c>
      <c r="Q391" s="675"/>
    </row>
    <row r="392" spans="2:17">
      <c r="B392" s="332"/>
      <c r="C392" s="723">
        <f>IF(D354="","-",+C391+1)</f>
        <v>2046</v>
      </c>
      <c r="D392" s="674">
        <f t="shared" si="38"/>
        <v>789101.08043478103</v>
      </c>
      <c r="E392" s="730">
        <f t="shared" si="39"/>
        <v>52606.738695652173</v>
      </c>
      <c r="F392" s="730">
        <f t="shared" si="32"/>
        <v>736494.34173912881</v>
      </c>
      <c r="G392" s="674">
        <f t="shared" si="33"/>
        <v>762797.71108695492</v>
      </c>
      <c r="H392" s="724">
        <f>+J355*G392+E392</f>
        <v>129621.42043443694</v>
      </c>
      <c r="I392" s="731">
        <f>+J356*G392+E392</f>
        <v>129621.42043443694</v>
      </c>
      <c r="J392" s="727">
        <f t="shared" si="34"/>
        <v>0</v>
      </c>
      <c r="K392" s="727"/>
      <c r="L392" s="732"/>
      <c r="M392" s="727">
        <f t="shared" si="35"/>
        <v>0</v>
      </c>
      <c r="N392" s="732"/>
      <c r="O392" s="727">
        <f t="shared" si="36"/>
        <v>0</v>
      </c>
      <c r="P392" s="727">
        <f t="shared" si="37"/>
        <v>0</v>
      </c>
      <c r="Q392" s="675"/>
    </row>
    <row r="393" spans="2:17">
      <c r="B393" s="332"/>
      <c r="C393" s="723">
        <f>IF(D354="","-",+C392+1)</f>
        <v>2047</v>
      </c>
      <c r="D393" s="674">
        <f t="shared" si="38"/>
        <v>736494.34173912881</v>
      </c>
      <c r="E393" s="730">
        <f t="shared" si="39"/>
        <v>52606.738695652173</v>
      </c>
      <c r="F393" s="730">
        <f t="shared" si="32"/>
        <v>683887.60304347659</v>
      </c>
      <c r="G393" s="674">
        <f t="shared" si="33"/>
        <v>710190.9723913027</v>
      </c>
      <c r="H393" s="724">
        <f>+J355*G393+E393</f>
        <v>124310.06307314141</v>
      </c>
      <c r="I393" s="731">
        <f>+J356*G393+E393</f>
        <v>124310.06307314141</v>
      </c>
      <c r="J393" s="727">
        <f t="shared" si="34"/>
        <v>0</v>
      </c>
      <c r="K393" s="727"/>
      <c r="L393" s="732"/>
      <c r="M393" s="727">
        <f t="shared" si="35"/>
        <v>0</v>
      </c>
      <c r="N393" s="732"/>
      <c r="O393" s="727">
        <f t="shared" si="36"/>
        <v>0</v>
      </c>
      <c r="P393" s="727">
        <f t="shared" si="37"/>
        <v>0</v>
      </c>
      <c r="Q393" s="675"/>
    </row>
    <row r="394" spans="2:17">
      <c r="B394" s="332"/>
      <c r="C394" s="723">
        <f>IF(D354="","-",+C393+1)</f>
        <v>2048</v>
      </c>
      <c r="D394" s="674">
        <f t="shared" si="38"/>
        <v>683887.60304347659</v>
      </c>
      <c r="E394" s="730">
        <f t="shared" si="39"/>
        <v>52606.738695652173</v>
      </c>
      <c r="F394" s="730">
        <f t="shared" si="32"/>
        <v>631280.86434782436</v>
      </c>
      <c r="G394" s="674">
        <f t="shared" si="33"/>
        <v>657584.23369565047</v>
      </c>
      <c r="H394" s="724">
        <f>+J355*G394+E394</f>
        <v>118998.70571184592</v>
      </c>
      <c r="I394" s="731">
        <f>+J356*G394+E394</f>
        <v>118998.70571184592</v>
      </c>
      <c r="J394" s="727">
        <f t="shared" si="34"/>
        <v>0</v>
      </c>
      <c r="K394" s="727"/>
      <c r="L394" s="732"/>
      <c r="M394" s="727">
        <f t="shared" si="35"/>
        <v>0</v>
      </c>
      <c r="N394" s="732"/>
      <c r="O394" s="727">
        <f t="shared" si="36"/>
        <v>0</v>
      </c>
      <c r="P394" s="727">
        <f t="shared" si="37"/>
        <v>0</v>
      </c>
      <c r="Q394" s="675"/>
    </row>
    <row r="395" spans="2:17">
      <c r="B395" s="332"/>
      <c r="C395" s="723">
        <f>IF(D354="","-",+C394+1)</f>
        <v>2049</v>
      </c>
      <c r="D395" s="674">
        <f t="shared" si="38"/>
        <v>631280.86434782436</v>
      </c>
      <c r="E395" s="730">
        <f t="shared" si="39"/>
        <v>52606.738695652173</v>
      </c>
      <c r="F395" s="730">
        <f t="shared" si="32"/>
        <v>578674.12565217214</v>
      </c>
      <c r="G395" s="674">
        <f t="shared" si="33"/>
        <v>604977.49499999825</v>
      </c>
      <c r="H395" s="724">
        <f>+J355*G395+E395</f>
        <v>113687.3483505504</v>
      </c>
      <c r="I395" s="731">
        <f>+J356*G395+E395</f>
        <v>113687.3483505504</v>
      </c>
      <c r="J395" s="727">
        <f t="shared" si="34"/>
        <v>0</v>
      </c>
      <c r="K395" s="727"/>
      <c r="L395" s="732"/>
      <c r="M395" s="727">
        <f t="shared" si="35"/>
        <v>0</v>
      </c>
      <c r="N395" s="732"/>
      <c r="O395" s="727">
        <f t="shared" si="36"/>
        <v>0</v>
      </c>
      <c r="P395" s="727">
        <f t="shared" si="37"/>
        <v>0</v>
      </c>
      <c r="Q395" s="675"/>
    </row>
    <row r="396" spans="2:17">
      <c r="B396" s="332"/>
      <c r="C396" s="723">
        <f>IF(D354="","-",+C395+1)</f>
        <v>2050</v>
      </c>
      <c r="D396" s="674">
        <f t="shared" si="38"/>
        <v>578674.12565217214</v>
      </c>
      <c r="E396" s="730">
        <f t="shared" si="39"/>
        <v>52606.738695652173</v>
      </c>
      <c r="F396" s="730">
        <f t="shared" si="32"/>
        <v>526067.38695651991</v>
      </c>
      <c r="G396" s="674">
        <f t="shared" si="33"/>
        <v>552370.75630434602</v>
      </c>
      <c r="H396" s="724">
        <f>+J355*G396+E396</f>
        <v>108375.99098925487</v>
      </c>
      <c r="I396" s="731">
        <f>+J356*G396+E396</f>
        <v>108375.99098925487</v>
      </c>
      <c r="J396" s="727">
        <f t="shared" si="34"/>
        <v>0</v>
      </c>
      <c r="K396" s="727"/>
      <c r="L396" s="732"/>
      <c r="M396" s="727">
        <f t="shared" si="35"/>
        <v>0</v>
      </c>
      <c r="N396" s="732"/>
      <c r="O396" s="727">
        <f t="shared" si="36"/>
        <v>0</v>
      </c>
      <c r="P396" s="727">
        <f t="shared" si="37"/>
        <v>0</v>
      </c>
      <c r="Q396" s="675"/>
    </row>
    <row r="397" spans="2:17">
      <c r="B397" s="332"/>
      <c r="C397" s="723">
        <f>IF(D354="","-",+C396+1)</f>
        <v>2051</v>
      </c>
      <c r="D397" s="674">
        <f t="shared" si="38"/>
        <v>526067.38695651991</v>
      </c>
      <c r="E397" s="730">
        <f t="shared" si="39"/>
        <v>52606.738695652173</v>
      </c>
      <c r="F397" s="730">
        <f t="shared" si="32"/>
        <v>473460.64826086775</v>
      </c>
      <c r="G397" s="674">
        <f t="shared" si="33"/>
        <v>499764.0176086938</v>
      </c>
      <c r="H397" s="724">
        <f>+J355*G397+E397</f>
        <v>103064.63362795935</v>
      </c>
      <c r="I397" s="731">
        <f>+J356*G397+E397</f>
        <v>103064.63362795935</v>
      </c>
      <c r="J397" s="727">
        <f t="shared" si="34"/>
        <v>0</v>
      </c>
      <c r="K397" s="727"/>
      <c r="L397" s="732"/>
      <c r="M397" s="727">
        <f t="shared" si="35"/>
        <v>0</v>
      </c>
      <c r="N397" s="732"/>
      <c r="O397" s="727">
        <f t="shared" si="36"/>
        <v>0</v>
      </c>
      <c r="P397" s="727">
        <f t="shared" si="37"/>
        <v>0</v>
      </c>
      <c r="Q397" s="675"/>
    </row>
    <row r="398" spans="2:17">
      <c r="B398" s="332"/>
      <c r="C398" s="723">
        <f>IF(D354="","-",+C397+1)</f>
        <v>2052</v>
      </c>
      <c r="D398" s="674">
        <f t="shared" si="38"/>
        <v>473460.64826086775</v>
      </c>
      <c r="E398" s="730">
        <f t="shared" si="39"/>
        <v>52606.738695652173</v>
      </c>
      <c r="F398" s="730">
        <f t="shared" si="32"/>
        <v>420853.90956521558</v>
      </c>
      <c r="G398" s="674">
        <f t="shared" si="33"/>
        <v>447157.27891304169</v>
      </c>
      <c r="H398" s="724">
        <f>+J355*G398+E398</f>
        <v>97753.276266663859</v>
      </c>
      <c r="I398" s="731">
        <f>+J356*G398+E398</f>
        <v>97753.276266663859</v>
      </c>
      <c r="J398" s="727">
        <f t="shared" si="34"/>
        <v>0</v>
      </c>
      <c r="K398" s="727"/>
      <c r="L398" s="732"/>
      <c r="M398" s="727">
        <f t="shared" si="35"/>
        <v>0</v>
      </c>
      <c r="N398" s="732"/>
      <c r="O398" s="727">
        <f t="shared" si="36"/>
        <v>0</v>
      </c>
      <c r="P398" s="727">
        <f t="shared" si="37"/>
        <v>0</v>
      </c>
      <c r="Q398" s="675"/>
    </row>
    <row r="399" spans="2:17">
      <c r="B399" s="332"/>
      <c r="C399" s="723">
        <f>IF(D354="","-",+C398+1)</f>
        <v>2053</v>
      </c>
      <c r="D399" s="674">
        <f t="shared" si="38"/>
        <v>420853.90956521558</v>
      </c>
      <c r="E399" s="730">
        <f t="shared" si="39"/>
        <v>52606.738695652173</v>
      </c>
      <c r="F399" s="730">
        <f t="shared" si="32"/>
        <v>368247.17086956342</v>
      </c>
      <c r="G399" s="674">
        <f t="shared" si="33"/>
        <v>394550.54021738947</v>
      </c>
      <c r="H399" s="724">
        <f>+J355*G399+E399</f>
        <v>92441.918905368337</v>
      </c>
      <c r="I399" s="731">
        <f>+J356*G399+E399</f>
        <v>92441.918905368337</v>
      </c>
      <c r="J399" s="727">
        <f t="shared" si="34"/>
        <v>0</v>
      </c>
      <c r="K399" s="727"/>
      <c r="L399" s="732"/>
      <c r="M399" s="727">
        <f t="shared" si="35"/>
        <v>0</v>
      </c>
      <c r="N399" s="732"/>
      <c r="O399" s="727">
        <f t="shared" si="36"/>
        <v>0</v>
      </c>
      <c r="P399" s="727">
        <f t="shared" si="37"/>
        <v>0</v>
      </c>
      <c r="Q399" s="675"/>
    </row>
    <row r="400" spans="2:17">
      <c r="B400" s="332"/>
      <c r="C400" s="723">
        <f>IF(D354="","-",+C399+1)</f>
        <v>2054</v>
      </c>
      <c r="D400" s="674">
        <f t="shared" si="38"/>
        <v>368247.17086956342</v>
      </c>
      <c r="E400" s="730">
        <f t="shared" si="39"/>
        <v>52606.738695652173</v>
      </c>
      <c r="F400" s="730">
        <f t="shared" si="32"/>
        <v>315640.43217391125</v>
      </c>
      <c r="G400" s="674">
        <f t="shared" si="33"/>
        <v>341943.80152173736</v>
      </c>
      <c r="H400" s="724">
        <f>+J355*G400+E400</f>
        <v>87130.561544072829</v>
      </c>
      <c r="I400" s="731">
        <f>+J356*G400+E400</f>
        <v>87130.561544072829</v>
      </c>
      <c r="J400" s="727">
        <f t="shared" si="34"/>
        <v>0</v>
      </c>
      <c r="K400" s="727"/>
      <c r="L400" s="732"/>
      <c r="M400" s="727">
        <f t="shared" si="35"/>
        <v>0</v>
      </c>
      <c r="N400" s="732"/>
      <c r="O400" s="727">
        <f t="shared" si="36"/>
        <v>0</v>
      </c>
      <c r="P400" s="727">
        <f t="shared" si="37"/>
        <v>0</v>
      </c>
      <c r="Q400" s="675"/>
    </row>
    <row r="401" spans="2:17">
      <c r="B401" s="332"/>
      <c r="C401" s="723">
        <f>IF(D354="","-",+C400+1)</f>
        <v>2055</v>
      </c>
      <c r="D401" s="674">
        <f t="shared" si="38"/>
        <v>315640.43217391125</v>
      </c>
      <c r="E401" s="730">
        <f t="shared" si="39"/>
        <v>52606.738695652173</v>
      </c>
      <c r="F401" s="730">
        <f t="shared" si="32"/>
        <v>263033.69347825908</v>
      </c>
      <c r="G401" s="674">
        <f t="shared" si="33"/>
        <v>289337.06282608514</v>
      </c>
      <c r="H401" s="724">
        <f>+J355*G401+E401</f>
        <v>81819.204182777306</v>
      </c>
      <c r="I401" s="731">
        <f>+J356*G401+E401</f>
        <v>81819.204182777306</v>
      </c>
      <c r="J401" s="727">
        <f t="shared" si="34"/>
        <v>0</v>
      </c>
      <c r="K401" s="727"/>
      <c r="L401" s="732"/>
      <c r="M401" s="727">
        <f t="shared" si="35"/>
        <v>0</v>
      </c>
      <c r="N401" s="732"/>
      <c r="O401" s="727">
        <f t="shared" si="36"/>
        <v>0</v>
      </c>
      <c r="P401" s="727">
        <f t="shared" si="37"/>
        <v>0</v>
      </c>
      <c r="Q401" s="675"/>
    </row>
    <row r="402" spans="2:17">
      <c r="B402" s="332"/>
      <c r="C402" s="723">
        <f>IF(D354="","-",+C401+1)</f>
        <v>2056</v>
      </c>
      <c r="D402" s="674">
        <f t="shared" si="38"/>
        <v>263033.69347825908</v>
      </c>
      <c r="E402" s="730">
        <f t="shared" si="39"/>
        <v>52606.738695652173</v>
      </c>
      <c r="F402" s="730">
        <f t="shared" si="32"/>
        <v>210426.95478260692</v>
      </c>
      <c r="G402" s="674">
        <f t="shared" si="33"/>
        <v>236730.324130433</v>
      </c>
      <c r="H402" s="724">
        <f>+J355*G402+E402</f>
        <v>76507.846821481799</v>
      </c>
      <c r="I402" s="731">
        <f>+J356*G402+E402</f>
        <v>76507.846821481799</v>
      </c>
      <c r="J402" s="727">
        <f t="shared" si="34"/>
        <v>0</v>
      </c>
      <c r="K402" s="727"/>
      <c r="L402" s="732"/>
      <c r="M402" s="727">
        <f t="shared" si="35"/>
        <v>0</v>
      </c>
      <c r="N402" s="732"/>
      <c r="O402" s="727">
        <f t="shared" si="36"/>
        <v>0</v>
      </c>
      <c r="P402" s="727">
        <f t="shared" si="37"/>
        <v>0</v>
      </c>
      <c r="Q402" s="675"/>
    </row>
    <row r="403" spans="2:17">
      <c r="B403" s="332"/>
      <c r="C403" s="723">
        <f>IF(D354="","-",+C402+1)</f>
        <v>2057</v>
      </c>
      <c r="D403" s="674">
        <f t="shared" si="38"/>
        <v>210426.95478260692</v>
      </c>
      <c r="E403" s="730">
        <f t="shared" si="39"/>
        <v>52606.738695652173</v>
      </c>
      <c r="F403" s="730">
        <f t="shared" si="32"/>
        <v>157820.21608695475</v>
      </c>
      <c r="G403" s="674">
        <f t="shared" si="33"/>
        <v>184123.58543478083</v>
      </c>
      <c r="H403" s="724">
        <f>+J355*G403+E403</f>
        <v>71196.489460186291</v>
      </c>
      <c r="I403" s="731">
        <f>+J356*G403+E403</f>
        <v>71196.489460186291</v>
      </c>
      <c r="J403" s="727">
        <f t="shared" si="34"/>
        <v>0</v>
      </c>
      <c r="K403" s="727"/>
      <c r="L403" s="732"/>
      <c r="M403" s="727">
        <f t="shared" si="35"/>
        <v>0</v>
      </c>
      <c r="N403" s="732"/>
      <c r="O403" s="727">
        <f t="shared" si="36"/>
        <v>0</v>
      </c>
      <c r="P403" s="727">
        <f t="shared" si="37"/>
        <v>0</v>
      </c>
      <c r="Q403" s="675"/>
    </row>
    <row r="404" spans="2:17">
      <c r="B404" s="332"/>
      <c r="C404" s="723">
        <f>IF(D354="","-",+C403+1)</f>
        <v>2058</v>
      </c>
      <c r="D404" s="674">
        <f t="shared" si="38"/>
        <v>157820.21608695475</v>
      </c>
      <c r="E404" s="730">
        <f t="shared" si="39"/>
        <v>52606.738695652173</v>
      </c>
      <c r="F404" s="730">
        <f t="shared" si="32"/>
        <v>105213.47739130259</v>
      </c>
      <c r="G404" s="674">
        <f t="shared" si="33"/>
        <v>131516.84673912867</v>
      </c>
      <c r="H404" s="724">
        <f>+J355*G404+E404</f>
        <v>65885.132098890783</v>
      </c>
      <c r="I404" s="731">
        <f>+J356*G404+E404</f>
        <v>65885.132098890783</v>
      </c>
      <c r="J404" s="727">
        <f t="shared" si="34"/>
        <v>0</v>
      </c>
      <c r="K404" s="727"/>
      <c r="L404" s="732"/>
      <c r="M404" s="727">
        <f t="shared" si="35"/>
        <v>0</v>
      </c>
      <c r="N404" s="732"/>
      <c r="O404" s="727">
        <f t="shared" si="36"/>
        <v>0</v>
      </c>
      <c r="P404" s="727">
        <f t="shared" si="37"/>
        <v>0</v>
      </c>
      <c r="Q404" s="675"/>
    </row>
    <row r="405" spans="2:17">
      <c r="B405" s="332"/>
      <c r="C405" s="723">
        <f>IF(D354="","-",+C404+1)</f>
        <v>2059</v>
      </c>
      <c r="D405" s="674">
        <f t="shared" si="38"/>
        <v>105213.47739130259</v>
      </c>
      <c r="E405" s="730">
        <f t="shared" si="39"/>
        <v>52606.738695652173</v>
      </c>
      <c r="F405" s="730">
        <f t="shared" si="32"/>
        <v>52606.738695650412</v>
      </c>
      <c r="G405" s="674">
        <f t="shared" si="33"/>
        <v>78910.108043476503</v>
      </c>
      <c r="H405" s="724">
        <f>+J355*G405+E405</f>
        <v>60573.77473759526</v>
      </c>
      <c r="I405" s="731">
        <f>+J356*G405+E405</f>
        <v>60573.77473759526</v>
      </c>
      <c r="J405" s="727">
        <f t="shared" si="34"/>
        <v>0</v>
      </c>
      <c r="K405" s="727"/>
      <c r="L405" s="732"/>
      <c r="M405" s="727">
        <f t="shared" si="35"/>
        <v>0</v>
      </c>
      <c r="N405" s="732"/>
      <c r="O405" s="727">
        <f t="shared" si="36"/>
        <v>0</v>
      </c>
      <c r="P405" s="727">
        <f t="shared" si="37"/>
        <v>0</v>
      </c>
      <c r="Q405" s="675"/>
    </row>
    <row r="406" spans="2:17">
      <c r="B406" s="332"/>
      <c r="C406" s="723">
        <f>IF(D354="","-",+C405+1)</f>
        <v>2060</v>
      </c>
      <c r="D406" s="674">
        <f t="shared" si="38"/>
        <v>52606.738695650412</v>
      </c>
      <c r="E406" s="730">
        <f t="shared" si="39"/>
        <v>52606.738695650412</v>
      </c>
      <c r="F406" s="730">
        <f t="shared" si="32"/>
        <v>0</v>
      </c>
      <c r="G406" s="674">
        <f t="shared" si="33"/>
        <v>26303.369347825206</v>
      </c>
      <c r="H406" s="724">
        <f>+J355*G406+E406</f>
        <v>55262.417376298079</v>
      </c>
      <c r="I406" s="731">
        <f>+J356*G406+E406</f>
        <v>55262.417376298079</v>
      </c>
      <c r="J406" s="727">
        <f t="shared" si="34"/>
        <v>0</v>
      </c>
      <c r="K406" s="727"/>
      <c r="L406" s="732"/>
      <c r="M406" s="727">
        <f t="shared" si="35"/>
        <v>0</v>
      </c>
      <c r="N406" s="732"/>
      <c r="O406" s="727">
        <f t="shared" si="36"/>
        <v>0</v>
      </c>
      <c r="P406" s="727">
        <f t="shared" si="37"/>
        <v>0</v>
      </c>
      <c r="Q406" s="675"/>
    </row>
    <row r="407" spans="2:17">
      <c r="B407" s="332"/>
      <c r="C407" s="723">
        <f>IF(D354="","-",+C406+1)</f>
        <v>2061</v>
      </c>
      <c r="D407" s="674">
        <f t="shared" si="38"/>
        <v>0</v>
      </c>
      <c r="E407" s="730">
        <f t="shared" si="39"/>
        <v>0</v>
      </c>
      <c r="F407" s="730">
        <f t="shared" si="32"/>
        <v>0</v>
      </c>
      <c r="G407" s="674">
        <f t="shared" si="33"/>
        <v>0</v>
      </c>
      <c r="H407" s="724">
        <f>+J355*G407+E407</f>
        <v>0</v>
      </c>
      <c r="I407" s="731">
        <f>+J356*G407+E407</f>
        <v>0</v>
      </c>
      <c r="J407" s="727">
        <f t="shared" si="34"/>
        <v>0</v>
      </c>
      <c r="K407" s="727"/>
      <c r="L407" s="732"/>
      <c r="M407" s="727">
        <f t="shared" si="35"/>
        <v>0</v>
      </c>
      <c r="N407" s="732"/>
      <c r="O407" s="727">
        <f t="shared" si="36"/>
        <v>0</v>
      </c>
      <c r="P407" s="727">
        <f t="shared" si="37"/>
        <v>0</v>
      </c>
      <c r="Q407" s="675"/>
    </row>
    <row r="408" spans="2:17">
      <c r="B408" s="332"/>
      <c r="C408" s="723">
        <f>IF(D354="","-",+C407+1)</f>
        <v>2062</v>
      </c>
      <c r="D408" s="674">
        <f t="shared" si="38"/>
        <v>0</v>
      </c>
      <c r="E408" s="730">
        <f t="shared" si="39"/>
        <v>0</v>
      </c>
      <c r="F408" s="730">
        <f t="shared" si="32"/>
        <v>0</v>
      </c>
      <c r="G408" s="674">
        <f t="shared" si="33"/>
        <v>0</v>
      </c>
      <c r="H408" s="724">
        <f>+J355*G408+E408</f>
        <v>0</v>
      </c>
      <c r="I408" s="731">
        <f>+J356*G408+E408</f>
        <v>0</v>
      </c>
      <c r="J408" s="727">
        <f t="shared" si="34"/>
        <v>0</v>
      </c>
      <c r="K408" s="727"/>
      <c r="L408" s="732"/>
      <c r="M408" s="727">
        <f t="shared" si="35"/>
        <v>0</v>
      </c>
      <c r="N408" s="732"/>
      <c r="O408" s="727">
        <f t="shared" si="36"/>
        <v>0</v>
      </c>
      <c r="P408" s="727">
        <f t="shared" si="37"/>
        <v>0</v>
      </c>
      <c r="Q408" s="675"/>
    </row>
    <row r="409" spans="2:17">
      <c r="B409" s="332"/>
      <c r="C409" s="723">
        <f>IF(D354="","-",+C408+1)</f>
        <v>2063</v>
      </c>
      <c r="D409" s="674">
        <f t="shared" si="38"/>
        <v>0</v>
      </c>
      <c r="E409" s="730">
        <f t="shared" si="39"/>
        <v>0</v>
      </c>
      <c r="F409" s="730">
        <f t="shared" si="32"/>
        <v>0</v>
      </c>
      <c r="G409" s="674">
        <f t="shared" si="33"/>
        <v>0</v>
      </c>
      <c r="H409" s="724">
        <f>+J355*G409+E409</f>
        <v>0</v>
      </c>
      <c r="I409" s="731">
        <f>+J356*G409+E409</f>
        <v>0</v>
      </c>
      <c r="J409" s="727">
        <f t="shared" si="34"/>
        <v>0</v>
      </c>
      <c r="K409" s="727"/>
      <c r="L409" s="732"/>
      <c r="M409" s="727">
        <f t="shared" si="35"/>
        <v>0</v>
      </c>
      <c r="N409" s="732"/>
      <c r="O409" s="727">
        <f t="shared" si="36"/>
        <v>0</v>
      </c>
      <c r="P409" s="727">
        <f t="shared" si="37"/>
        <v>0</v>
      </c>
      <c r="Q409" s="675"/>
    </row>
    <row r="410" spans="2:17">
      <c r="B410" s="332"/>
      <c r="C410" s="723">
        <f>IF(D354="","-",+C409+1)</f>
        <v>2064</v>
      </c>
      <c r="D410" s="674">
        <f t="shared" si="38"/>
        <v>0</v>
      </c>
      <c r="E410" s="730">
        <f t="shared" si="39"/>
        <v>0</v>
      </c>
      <c r="F410" s="730">
        <f t="shared" si="32"/>
        <v>0</v>
      </c>
      <c r="G410" s="674">
        <f t="shared" si="33"/>
        <v>0</v>
      </c>
      <c r="H410" s="724">
        <f>+J355*G410+E410</f>
        <v>0</v>
      </c>
      <c r="I410" s="731">
        <f>+J356*G410+E410</f>
        <v>0</v>
      </c>
      <c r="J410" s="727">
        <f t="shared" si="34"/>
        <v>0</v>
      </c>
      <c r="K410" s="727"/>
      <c r="L410" s="732"/>
      <c r="M410" s="727">
        <f t="shared" si="35"/>
        <v>0</v>
      </c>
      <c r="N410" s="732"/>
      <c r="O410" s="727">
        <f t="shared" si="36"/>
        <v>0</v>
      </c>
      <c r="P410" s="727">
        <f t="shared" si="37"/>
        <v>0</v>
      </c>
      <c r="Q410" s="675"/>
    </row>
    <row r="411" spans="2:17">
      <c r="B411" s="332"/>
      <c r="C411" s="723">
        <f>IF(D354="","-",+C410+1)</f>
        <v>2065</v>
      </c>
      <c r="D411" s="674">
        <f t="shared" si="38"/>
        <v>0</v>
      </c>
      <c r="E411" s="730">
        <f t="shared" si="39"/>
        <v>0</v>
      </c>
      <c r="F411" s="730">
        <f t="shared" si="32"/>
        <v>0</v>
      </c>
      <c r="G411" s="674">
        <f t="shared" si="33"/>
        <v>0</v>
      </c>
      <c r="H411" s="724">
        <f>+J355*G411+E411</f>
        <v>0</v>
      </c>
      <c r="I411" s="731">
        <f>+J356*G411+E411</f>
        <v>0</v>
      </c>
      <c r="J411" s="727">
        <f t="shared" si="34"/>
        <v>0</v>
      </c>
      <c r="K411" s="727"/>
      <c r="L411" s="732"/>
      <c r="M411" s="727">
        <f t="shared" si="35"/>
        <v>0</v>
      </c>
      <c r="N411" s="732"/>
      <c r="O411" s="727">
        <f t="shared" si="36"/>
        <v>0</v>
      </c>
      <c r="P411" s="727">
        <f t="shared" si="37"/>
        <v>0</v>
      </c>
      <c r="Q411" s="675"/>
    </row>
    <row r="412" spans="2:17">
      <c r="B412" s="332"/>
      <c r="C412" s="723">
        <f>IF(D354="","-",+C411+1)</f>
        <v>2066</v>
      </c>
      <c r="D412" s="674">
        <f t="shared" si="38"/>
        <v>0</v>
      </c>
      <c r="E412" s="730">
        <f t="shared" si="39"/>
        <v>0</v>
      </c>
      <c r="F412" s="730">
        <f t="shared" si="32"/>
        <v>0</v>
      </c>
      <c r="G412" s="674">
        <f t="shared" si="33"/>
        <v>0</v>
      </c>
      <c r="H412" s="724">
        <f>+J355*G412+E412</f>
        <v>0</v>
      </c>
      <c r="I412" s="731">
        <f>+J356*G412+E412</f>
        <v>0</v>
      </c>
      <c r="J412" s="727">
        <f t="shared" si="34"/>
        <v>0</v>
      </c>
      <c r="K412" s="727"/>
      <c r="L412" s="732"/>
      <c r="M412" s="727">
        <f t="shared" si="35"/>
        <v>0</v>
      </c>
      <c r="N412" s="732"/>
      <c r="O412" s="727">
        <f t="shared" si="36"/>
        <v>0</v>
      </c>
      <c r="P412" s="727">
        <f t="shared" si="37"/>
        <v>0</v>
      </c>
      <c r="Q412" s="675"/>
    </row>
    <row r="413" spans="2:17">
      <c r="B413" s="332"/>
      <c r="C413" s="723">
        <f>IF(D354="","-",+C412+1)</f>
        <v>2067</v>
      </c>
      <c r="D413" s="674">
        <f t="shared" si="38"/>
        <v>0</v>
      </c>
      <c r="E413" s="730">
        <f t="shared" si="39"/>
        <v>0</v>
      </c>
      <c r="F413" s="730">
        <f t="shared" si="32"/>
        <v>0</v>
      </c>
      <c r="G413" s="674">
        <f t="shared" si="33"/>
        <v>0</v>
      </c>
      <c r="H413" s="724">
        <f>+J355*G413+E413</f>
        <v>0</v>
      </c>
      <c r="I413" s="731">
        <f>+J356*G413+E413</f>
        <v>0</v>
      </c>
      <c r="J413" s="727">
        <f t="shared" si="34"/>
        <v>0</v>
      </c>
      <c r="K413" s="727"/>
      <c r="L413" s="732"/>
      <c r="M413" s="727">
        <f t="shared" si="35"/>
        <v>0</v>
      </c>
      <c r="N413" s="732"/>
      <c r="O413" s="727">
        <f t="shared" si="36"/>
        <v>0</v>
      </c>
      <c r="P413" s="727">
        <f t="shared" si="37"/>
        <v>0</v>
      </c>
      <c r="Q413" s="675"/>
    </row>
    <row r="414" spans="2:17">
      <c r="B414" s="332"/>
      <c r="C414" s="723">
        <f>IF(D354="","-",+C413+1)</f>
        <v>2068</v>
      </c>
      <c r="D414" s="674">
        <f t="shared" si="38"/>
        <v>0</v>
      </c>
      <c r="E414" s="730">
        <f t="shared" si="39"/>
        <v>0</v>
      </c>
      <c r="F414" s="730">
        <f t="shared" si="32"/>
        <v>0</v>
      </c>
      <c r="G414" s="674">
        <f t="shared" si="33"/>
        <v>0</v>
      </c>
      <c r="H414" s="724">
        <f>+J355*G414+E414</f>
        <v>0</v>
      </c>
      <c r="I414" s="731">
        <f>+J356*G414+E414</f>
        <v>0</v>
      </c>
      <c r="J414" s="727">
        <f t="shared" si="34"/>
        <v>0</v>
      </c>
      <c r="K414" s="727"/>
      <c r="L414" s="732"/>
      <c r="M414" s="727">
        <f t="shared" si="35"/>
        <v>0</v>
      </c>
      <c r="N414" s="732"/>
      <c r="O414" s="727">
        <f t="shared" si="36"/>
        <v>0</v>
      </c>
      <c r="P414" s="727">
        <f t="shared" si="37"/>
        <v>0</v>
      </c>
      <c r="Q414" s="675"/>
    </row>
    <row r="415" spans="2:17">
      <c r="B415" s="332"/>
      <c r="C415" s="723">
        <f>IF(D354="","-",+C414+1)</f>
        <v>2069</v>
      </c>
      <c r="D415" s="674">
        <f t="shared" si="38"/>
        <v>0</v>
      </c>
      <c r="E415" s="730">
        <f t="shared" si="39"/>
        <v>0</v>
      </c>
      <c r="F415" s="730">
        <f t="shared" si="32"/>
        <v>0</v>
      </c>
      <c r="G415" s="674">
        <f t="shared" si="33"/>
        <v>0</v>
      </c>
      <c r="H415" s="724">
        <f>+J355*G415+E415</f>
        <v>0</v>
      </c>
      <c r="I415" s="731">
        <f>+J356*G415+E415</f>
        <v>0</v>
      </c>
      <c r="J415" s="727">
        <f t="shared" si="34"/>
        <v>0</v>
      </c>
      <c r="K415" s="727"/>
      <c r="L415" s="732"/>
      <c r="M415" s="727">
        <f t="shared" si="35"/>
        <v>0</v>
      </c>
      <c r="N415" s="732"/>
      <c r="O415" s="727">
        <f t="shared" si="36"/>
        <v>0</v>
      </c>
      <c r="P415" s="727">
        <f t="shared" si="37"/>
        <v>0</v>
      </c>
      <c r="Q415" s="675"/>
    </row>
    <row r="416" spans="2:17">
      <c r="B416" s="332"/>
      <c r="C416" s="723">
        <f>IF(D354="","-",+C415+1)</f>
        <v>2070</v>
      </c>
      <c r="D416" s="674">
        <f t="shared" si="38"/>
        <v>0</v>
      </c>
      <c r="E416" s="730">
        <f t="shared" si="39"/>
        <v>0</v>
      </c>
      <c r="F416" s="730">
        <f t="shared" si="32"/>
        <v>0</v>
      </c>
      <c r="G416" s="674">
        <f t="shared" si="33"/>
        <v>0</v>
      </c>
      <c r="H416" s="724">
        <f>+J355*G416+E416</f>
        <v>0</v>
      </c>
      <c r="I416" s="731">
        <f>+J356*G416+E416</f>
        <v>0</v>
      </c>
      <c r="J416" s="727">
        <f t="shared" si="34"/>
        <v>0</v>
      </c>
      <c r="K416" s="727"/>
      <c r="L416" s="732"/>
      <c r="M416" s="727">
        <f t="shared" si="35"/>
        <v>0</v>
      </c>
      <c r="N416" s="732"/>
      <c r="O416" s="727">
        <f t="shared" si="36"/>
        <v>0</v>
      </c>
      <c r="P416" s="727">
        <f t="shared" si="37"/>
        <v>0</v>
      </c>
      <c r="Q416" s="675"/>
    </row>
    <row r="417" spans="1:17">
      <c r="B417" s="332"/>
      <c r="C417" s="723">
        <f>IF(D354="","-",+C416+1)</f>
        <v>2071</v>
      </c>
      <c r="D417" s="674">
        <f t="shared" si="38"/>
        <v>0</v>
      </c>
      <c r="E417" s="730">
        <f t="shared" si="39"/>
        <v>0</v>
      </c>
      <c r="F417" s="730">
        <f t="shared" si="32"/>
        <v>0</v>
      </c>
      <c r="G417" s="674">
        <f t="shared" si="33"/>
        <v>0</v>
      </c>
      <c r="H417" s="724">
        <f>+J355*G417+E417</f>
        <v>0</v>
      </c>
      <c r="I417" s="731">
        <f>+J356*G417+E417</f>
        <v>0</v>
      </c>
      <c r="J417" s="727">
        <f t="shared" si="34"/>
        <v>0</v>
      </c>
      <c r="K417" s="727"/>
      <c r="L417" s="732"/>
      <c r="M417" s="727">
        <f t="shared" si="35"/>
        <v>0</v>
      </c>
      <c r="N417" s="732"/>
      <c r="O417" s="727">
        <f t="shared" si="36"/>
        <v>0</v>
      </c>
      <c r="P417" s="727">
        <f t="shared" si="37"/>
        <v>0</v>
      </c>
      <c r="Q417" s="675"/>
    </row>
    <row r="418" spans="1:17">
      <c r="B418" s="332"/>
      <c r="C418" s="723">
        <f>IF(D354="","-",+C417+1)</f>
        <v>2072</v>
      </c>
      <c r="D418" s="674">
        <f t="shared" si="38"/>
        <v>0</v>
      </c>
      <c r="E418" s="730">
        <f t="shared" si="39"/>
        <v>0</v>
      </c>
      <c r="F418" s="730">
        <f t="shared" si="32"/>
        <v>0</v>
      </c>
      <c r="G418" s="674">
        <f t="shared" si="33"/>
        <v>0</v>
      </c>
      <c r="H418" s="724">
        <f>+J355*G418+E418</f>
        <v>0</v>
      </c>
      <c r="I418" s="731">
        <f>+J356*G418+E418</f>
        <v>0</v>
      </c>
      <c r="J418" s="727">
        <f t="shared" si="34"/>
        <v>0</v>
      </c>
      <c r="K418" s="727"/>
      <c r="L418" s="732"/>
      <c r="M418" s="727">
        <f t="shared" si="35"/>
        <v>0</v>
      </c>
      <c r="N418" s="732"/>
      <c r="O418" s="727">
        <f t="shared" si="36"/>
        <v>0</v>
      </c>
      <c r="P418" s="727">
        <f t="shared" si="37"/>
        <v>0</v>
      </c>
      <c r="Q418" s="675"/>
    </row>
    <row r="419" spans="1:17" ht="13.5" thickBot="1">
      <c r="B419" s="332"/>
      <c r="C419" s="735">
        <f>IF(D354="","-",+C418+1)</f>
        <v>2073</v>
      </c>
      <c r="D419" s="736">
        <f t="shared" si="38"/>
        <v>0</v>
      </c>
      <c r="E419" s="737">
        <f t="shared" si="39"/>
        <v>0</v>
      </c>
      <c r="F419" s="737">
        <f t="shared" si="32"/>
        <v>0</v>
      </c>
      <c r="G419" s="736">
        <f t="shared" si="33"/>
        <v>0</v>
      </c>
      <c r="H419" s="738">
        <f>+J355*G419+E419</f>
        <v>0</v>
      </c>
      <c r="I419" s="738">
        <f>+J356*G419+E419</f>
        <v>0</v>
      </c>
      <c r="J419" s="739">
        <f t="shared" si="34"/>
        <v>0</v>
      </c>
      <c r="K419" s="727"/>
      <c r="L419" s="740"/>
      <c r="M419" s="739">
        <f t="shared" si="35"/>
        <v>0</v>
      </c>
      <c r="N419" s="740"/>
      <c r="O419" s="739">
        <f t="shared" si="36"/>
        <v>0</v>
      </c>
      <c r="P419" s="739">
        <f t="shared" si="37"/>
        <v>0</v>
      </c>
      <c r="Q419" s="675"/>
    </row>
    <row r="420" spans="1:17">
      <c r="B420" s="332"/>
      <c r="C420" s="674" t="s">
        <v>288</v>
      </c>
      <c r="D420" s="670"/>
      <c r="E420" s="670">
        <f>SUM(E360:E419)</f>
        <v>2419909.98</v>
      </c>
      <c r="F420" s="670"/>
      <c r="G420" s="670"/>
      <c r="H420" s="670">
        <f>SUM(H360:H419)</f>
        <v>8283648.50687024</v>
      </c>
      <c r="I420" s="670">
        <f>SUM(I360:I419)</f>
        <v>8283648.50687024</v>
      </c>
      <c r="J420" s="670">
        <f>SUM(J360:J419)</f>
        <v>0</v>
      </c>
      <c r="K420" s="670"/>
      <c r="L420" s="670"/>
      <c r="M420" s="670"/>
      <c r="N420" s="670"/>
      <c r="O420" s="670"/>
      <c r="Q420" s="670"/>
    </row>
    <row r="421" spans="1:17">
      <c r="B421" s="332"/>
      <c r="D421" s="564"/>
      <c r="E421" s="541"/>
      <c r="F421" s="541"/>
      <c r="G421" s="541"/>
      <c r="H421" s="541"/>
      <c r="I421" s="647"/>
      <c r="J421" s="647"/>
      <c r="K421" s="670"/>
      <c r="L421" s="647"/>
      <c r="M421" s="647"/>
      <c r="N421" s="647"/>
      <c r="O421" s="647"/>
      <c r="Q421" s="670"/>
    </row>
    <row r="422" spans="1:17">
      <c r="B422" s="332"/>
      <c r="C422" s="541" t="s">
        <v>601</v>
      </c>
      <c r="D422" s="564"/>
      <c r="E422" s="541"/>
      <c r="F422" s="541"/>
      <c r="G422" s="541"/>
      <c r="H422" s="541"/>
      <c r="I422" s="647"/>
      <c r="J422" s="647"/>
      <c r="K422" s="670"/>
      <c r="L422" s="647"/>
      <c r="M422" s="647"/>
      <c r="N422" s="647"/>
      <c r="O422" s="647"/>
      <c r="Q422" s="670"/>
    </row>
    <row r="423" spans="1:17">
      <c r="B423" s="332"/>
      <c r="D423" s="564"/>
      <c r="E423" s="541"/>
      <c r="F423" s="541"/>
      <c r="G423" s="541"/>
      <c r="H423" s="541"/>
      <c r="I423" s="647"/>
      <c r="J423" s="647"/>
      <c r="K423" s="670"/>
      <c r="L423" s="647"/>
      <c r="M423" s="647"/>
      <c r="N423" s="647"/>
      <c r="O423" s="647"/>
      <c r="Q423" s="670"/>
    </row>
    <row r="424" spans="1:17">
      <c r="B424" s="332"/>
      <c r="C424" s="577" t="s">
        <v>602</v>
      </c>
      <c r="D424" s="674"/>
      <c r="E424" s="674"/>
      <c r="F424" s="674"/>
      <c r="G424" s="674"/>
      <c r="H424" s="670"/>
      <c r="I424" s="670"/>
      <c r="J424" s="675"/>
      <c r="K424" s="675"/>
      <c r="L424" s="675"/>
      <c r="M424" s="675"/>
      <c r="N424" s="675"/>
      <c r="O424" s="675"/>
      <c r="Q424" s="675"/>
    </row>
    <row r="425" spans="1:17">
      <c r="B425" s="332"/>
      <c r="C425" s="577" t="s">
        <v>476</v>
      </c>
      <c r="D425" s="674"/>
      <c r="E425" s="674"/>
      <c r="F425" s="674"/>
      <c r="G425" s="674"/>
      <c r="H425" s="670"/>
      <c r="I425" s="670"/>
      <c r="J425" s="675"/>
      <c r="K425" s="675"/>
      <c r="L425" s="675"/>
      <c r="M425" s="675"/>
      <c r="N425" s="675"/>
      <c r="O425" s="675"/>
      <c r="Q425" s="675"/>
    </row>
    <row r="426" spans="1:17">
      <c r="B426" s="332"/>
      <c r="C426" s="577" t="s">
        <v>289</v>
      </c>
      <c r="D426" s="674"/>
      <c r="E426" s="674"/>
      <c r="F426" s="674"/>
      <c r="G426" s="674"/>
      <c r="H426" s="670"/>
      <c r="I426" s="670"/>
      <c r="J426" s="675"/>
      <c r="K426" s="675"/>
      <c r="L426" s="675"/>
      <c r="M426" s="675"/>
      <c r="N426" s="675"/>
      <c r="O426" s="675"/>
      <c r="Q426" s="675"/>
    </row>
    <row r="427" spans="1:17" ht="20.25">
      <c r="A427" s="676" t="s">
        <v>770</v>
      </c>
      <c r="B427" s="541"/>
      <c r="C427" s="656"/>
      <c r="D427" s="564"/>
      <c r="E427" s="541"/>
      <c r="F427" s="646"/>
      <c r="G427" s="646"/>
      <c r="H427" s="541"/>
      <c r="I427" s="647"/>
      <c r="L427" s="677"/>
      <c r="M427" s="677"/>
      <c r="N427" s="677"/>
      <c r="O427" s="592" t="str">
        <f>"Page "&amp;SUM(Q$3:Q427)&amp;" of "</f>
        <v xml:space="preserve">Page 6 of </v>
      </c>
      <c r="P427" s="593">
        <f>COUNT(Q$8:Q$58123)</f>
        <v>16</v>
      </c>
      <c r="Q427" s="761">
        <v>1</v>
      </c>
    </row>
    <row r="428" spans="1:17">
      <c r="B428" s="541"/>
      <c r="C428" s="541"/>
      <c r="D428" s="564"/>
      <c r="E428" s="541"/>
      <c r="F428" s="541"/>
      <c r="G428" s="541"/>
      <c r="H428" s="541"/>
      <c r="I428" s="647"/>
      <c r="J428" s="541"/>
      <c r="K428" s="589"/>
      <c r="Q428" s="589"/>
    </row>
    <row r="429" spans="1:17" ht="18">
      <c r="B429" s="596" t="s">
        <v>174</v>
      </c>
      <c r="C429" s="678" t="s">
        <v>290</v>
      </c>
      <c r="D429" s="564"/>
      <c r="E429" s="541"/>
      <c r="F429" s="541"/>
      <c r="G429" s="541"/>
      <c r="H429" s="541"/>
      <c r="I429" s="647"/>
      <c r="J429" s="647"/>
      <c r="K429" s="670"/>
      <c r="L429" s="647"/>
      <c r="M429" s="647"/>
      <c r="N429" s="647"/>
      <c r="O429" s="647"/>
      <c r="Q429" s="670"/>
    </row>
    <row r="430" spans="1:17" ht="18.75">
      <c r="B430" s="596"/>
      <c r="C430" s="595"/>
      <c r="D430" s="564"/>
      <c r="E430" s="541"/>
      <c r="F430" s="541"/>
      <c r="G430" s="541"/>
      <c r="H430" s="541"/>
      <c r="I430" s="647"/>
      <c r="J430" s="647"/>
      <c r="K430" s="670"/>
      <c r="L430" s="647"/>
      <c r="M430" s="647"/>
      <c r="N430" s="647"/>
      <c r="O430" s="647"/>
      <c r="Q430" s="670"/>
    </row>
    <row r="431" spans="1:17" ht="18.75">
      <c r="B431" s="596"/>
      <c r="C431" s="595" t="s">
        <v>291</v>
      </c>
      <c r="D431" s="564"/>
      <c r="E431" s="541"/>
      <c r="F431" s="541"/>
      <c r="G431" s="541"/>
      <c r="H431" s="541"/>
      <c r="I431" s="647"/>
      <c r="J431" s="647"/>
      <c r="K431" s="670"/>
      <c r="L431" s="647"/>
      <c r="M431" s="647"/>
      <c r="N431" s="647"/>
      <c r="O431" s="647"/>
      <c r="Q431" s="670"/>
    </row>
    <row r="432" spans="1:17" ht="15.75" thickBot="1">
      <c r="B432" s="332"/>
      <c r="C432" s="398"/>
      <c r="D432" s="564"/>
      <c r="E432" s="541"/>
      <c r="F432" s="541"/>
      <c r="G432" s="541"/>
      <c r="H432" s="541"/>
      <c r="I432" s="647"/>
      <c r="J432" s="647"/>
      <c r="K432" s="670"/>
      <c r="L432" s="647"/>
      <c r="M432" s="647"/>
      <c r="N432" s="647"/>
      <c r="O432" s="647"/>
      <c r="Q432" s="670"/>
    </row>
    <row r="433" spans="1:17" ht="15.75">
      <c r="B433" s="332"/>
      <c r="C433" s="597" t="s">
        <v>292</v>
      </c>
      <c r="D433" s="564"/>
      <c r="E433" s="541"/>
      <c r="F433" s="541"/>
      <c r="G433" s="541"/>
      <c r="H433" s="870"/>
      <c r="I433" s="541" t="s">
        <v>271</v>
      </c>
      <c r="J433" s="541"/>
      <c r="K433" s="589"/>
      <c r="L433" s="762">
        <f>+J439</f>
        <v>2020</v>
      </c>
      <c r="M433" s="744" t="s">
        <v>254</v>
      </c>
      <c r="N433" s="744" t="s">
        <v>255</v>
      </c>
      <c r="O433" s="745" t="s">
        <v>256</v>
      </c>
      <c r="Q433" s="589"/>
    </row>
    <row r="434" spans="1:17" ht="15.75">
      <c r="B434" s="332"/>
      <c r="C434" s="597"/>
      <c r="D434" s="564"/>
      <c r="E434" s="541"/>
      <c r="F434" s="541"/>
      <c r="H434" s="541"/>
      <c r="I434" s="682"/>
      <c r="J434" s="682"/>
      <c r="K434" s="683"/>
      <c r="L434" s="763" t="s">
        <v>455</v>
      </c>
      <c r="M434" s="764">
        <f>VLOOKUP(J439,C446:P505,10)</f>
        <v>1715890.5772976056</v>
      </c>
      <c r="N434" s="764">
        <f>VLOOKUP(J439,C446:P505,12)</f>
        <v>1715890.5772976056</v>
      </c>
      <c r="O434" s="765">
        <f>+N434-M434</f>
        <v>0</v>
      </c>
      <c r="Q434" s="683"/>
    </row>
    <row r="435" spans="1:17">
      <c r="B435" s="332"/>
      <c r="C435" s="685" t="s">
        <v>293</v>
      </c>
      <c r="D435" s="1544" t="s">
        <v>978</v>
      </c>
      <c r="E435" s="1544"/>
      <c r="F435" s="1544"/>
      <c r="G435" s="1544"/>
      <c r="H435" s="1544"/>
      <c r="I435" s="647"/>
      <c r="J435" s="647"/>
      <c r="K435" s="670"/>
      <c r="L435" s="763" t="s">
        <v>456</v>
      </c>
      <c r="M435" s="766">
        <f>VLOOKUP(J439,C446:P505,6)</f>
        <v>1691495.4162577447</v>
      </c>
      <c r="N435" s="766">
        <f>VLOOKUP(J439,C446:P505,7)</f>
        <v>1691495.4162577447</v>
      </c>
      <c r="O435" s="767">
        <f>+N435-M435</f>
        <v>0</v>
      </c>
      <c r="Q435" s="670"/>
    </row>
    <row r="436" spans="1:17" ht="13.5" thickBot="1">
      <c r="B436" s="332"/>
      <c r="C436" s="687"/>
      <c r="D436" s="688"/>
      <c r="E436" s="672"/>
      <c r="F436" s="672"/>
      <c r="G436" s="672"/>
      <c r="H436" s="689"/>
      <c r="I436" s="647"/>
      <c r="J436" s="647"/>
      <c r="K436" s="670"/>
      <c r="L436" s="708" t="s">
        <v>457</v>
      </c>
      <c r="M436" s="768">
        <f>+M435-M434</f>
        <v>-24395.161039860919</v>
      </c>
      <c r="N436" s="768">
        <f>+N435-N434</f>
        <v>-24395.161039860919</v>
      </c>
      <c r="O436" s="769">
        <f>+O435-O434</f>
        <v>0</v>
      </c>
      <c r="Q436" s="670"/>
    </row>
    <row r="437" spans="1:17" ht="13.5" thickBot="1">
      <c r="B437" s="332"/>
      <c r="C437" s="690"/>
      <c r="D437" s="691"/>
      <c r="E437" s="689"/>
      <c r="F437" s="689"/>
      <c r="G437" s="689"/>
      <c r="H437" s="689"/>
      <c r="I437" s="689"/>
      <c r="J437" s="689"/>
      <c r="K437" s="692"/>
      <c r="L437" s="689"/>
      <c r="M437" s="689"/>
      <c r="N437" s="689"/>
      <c r="O437" s="689"/>
      <c r="P437" s="577"/>
      <c r="Q437" s="692"/>
    </row>
    <row r="438" spans="1:17" ht="13.5" thickBot="1">
      <c r="B438" s="332"/>
      <c r="C438" s="694" t="s">
        <v>294</v>
      </c>
      <c r="D438" s="695"/>
      <c r="E438" s="695"/>
      <c r="F438" s="695"/>
      <c r="G438" s="695"/>
      <c r="H438" s="695"/>
      <c r="I438" s="695"/>
      <c r="J438" s="695"/>
      <c r="K438" s="697"/>
      <c r="P438" s="698"/>
      <c r="Q438" s="697"/>
    </row>
    <row r="439" spans="1:17" ht="15">
      <c r="A439" s="693"/>
      <c r="B439" s="332"/>
      <c r="C439" s="700" t="s">
        <v>272</v>
      </c>
      <c r="D439" s="1256">
        <v>15164190.77</v>
      </c>
      <c r="E439" s="656" t="s">
        <v>273</v>
      </c>
      <c r="H439" s="701"/>
      <c r="I439" s="701"/>
      <c r="J439" s="702">
        <f>$J$95</f>
        <v>2020</v>
      </c>
      <c r="K439" s="587"/>
      <c r="L439" s="1545" t="s">
        <v>274</v>
      </c>
      <c r="M439" s="1545"/>
      <c r="N439" s="1545"/>
      <c r="O439" s="1545"/>
      <c r="P439" s="589"/>
      <c r="Q439" s="587"/>
    </row>
    <row r="440" spans="1:17">
      <c r="A440" s="693"/>
      <c r="B440" s="332"/>
      <c r="C440" s="700" t="s">
        <v>275</v>
      </c>
      <c r="D440" s="872">
        <v>2015</v>
      </c>
      <c r="E440" s="700" t="s">
        <v>276</v>
      </c>
      <c r="F440" s="701"/>
      <c r="G440" s="701"/>
      <c r="I440" s="332"/>
      <c r="J440" s="875">
        <v>0</v>
      </c>
      <c r="K440" s="703"/>
      <c r="L440" s="670" t="s">
        <v>475</v>
      </c>
      <c r="P440" s="589"/>
      <c r="Q440" s="703"/>
    </row>
    <row r="441" spans="1:17">
      <c r="A441" s="693"/>
      <c r="B441" s="332"/>
      <c r="C441" s="700" t="s">
        <v>277</v>
      </c>
      <c r="D441" s="1257">
        <v>5</v>
      </c>
      <c r="E441" s="700" t="s">
        <v>278</v>
      </c>
      <c r="F441" s="701"/>
      <c r="G441" s="701"/>
      <c r="I441" s="332"/>
      <c r="J441" s="704">
        <f>$F$70</f>
        <v>0.1009634410531228</v>
      </c>
      <c r="K441" s="705"/>
      <c r="L441" s="541" t="str">
        <f>"          INPUT TRUE-UP ARR (WITH &amp; WITHOUT INCENTIVES) FROM EACH PRIOR YEAR"</f>
        <v xml:space="preserve">          INPUT TRUE-UP ARR (WITH &amp; WITHOUT INCENTIVES) FROM EACH PRIOR YEAR</v>
      </c>
      <c r="P441" s="589"/>
      <c r="Q441" s="705"/>
    </row>
    <row r="442" spans="1:17">
      <c r="A442" s="693"/>
      <c r="B442" s="332"/>
      <c r="C442" s="700" t="s">
        <v>279</v>
      </c>
      <c r="D442" s="706">
        <f>H79</f>
        <v>46</v>
      </c>
      <c r="E442" s="700" t="s">
        <v>280</v>
      </c>
      <c r="F442" s="701"/>
      <c r="G442" s="701"/>
      <c r="I442" s="332"/>
      <c r="J442" s="704">
        <f>IF(H433="",J441,$F$69)</f>
        <v>0.1009634410531228</v>
      </c>
      <c r="K442" s="707"/>
      <c r="L442" s="541" t="s">
        <v>362</v>
      </c>
      <c r="M442" s="707"/>
      <c r="N442" s="707"/>
      <c r="O442" s="707"/>
      <c r="P442" s="589"/>
      <c r="Q442" s="707"/>
    </row>
    <row r="443" spans="1:17" ht="13.5" thickBot="1">
      <c r="A443" s="693"/>
      <c r="B443" s="332"/>
      <c r="C443" s="700" t="s">
        <v>281</v>
      </c>
      <c r="D443" s="874" t="s">
        <v>974</v>
      </c>
      <c r="E443" s="708" t="s">
        <v>282</v>
      </c>
      <c r="F443" s="709"/>
      <c r="G443" s="709"/>
      <c r="H443" s="710"/>
      <c r="I443" s="710"/>
      <c r="J443" s="686">
        <f>IF(D439=0,0,D439/D442)</f>
        <v>329656.32108695654</v>
      </c>
      <c r="K443" s="670"/>
      <c r="L443" s="670" t="s">
        <v>363</v>
      </c>
      <c r="M443" s="670"/>
      <c r="N443" s="670"/>
      <c r="O443" s="670"/>
      <c r="P443" s="589"/>
      <c r="Q443" s="670"/>
    </row>
    <row r="444" spans="1:17" ht="38.25">
      <c r="A444" s="528"/>
      <c r="B444" s="528"/>
      <c r="C444" s="711" t="s">
        <v>272</v>
      </c>
      <c r="D444" s="712" t="s">
        <v>283</v>
      </c>
      <c r="E444" s="713" t="s">
        <v>284</v>
      </c>
      <c r="F444" s="712" t="s">
        <v>285</v>
      </c>
      <c r="G444" s="712" t="s">
        <v>458</v>
      </c>
      <c r="H444" s="713" t="s">
        <v>356</v>
      </c>
      <c r="I444" s="714" t="s">
        <v>356</v>
      </c>
      <c r="J444" s="711" t="s">
        <v>295</v>
      </c>
      <c r="K444" s="715"/>
      <c r="L444" s="713" t="s">
        <v>358</v>
      </c>
      <c r="M444" s="713" t="s">
        <v>364</v>
      </c>
      <c r="N444" s="713" t="s">
        <v>358</v>
      </c>
      <c r="O444" s="713" t="s">
        <v>366</v>
      </c>
      <c r="P444" s="713" t="s">
        <v>286</v>
      </c>
      <c r="Q444" s="716"/>
    </row>
    <row r="445" spans="1:17" ht="13.5" thickBot="1">
      <c r="B445" s="332"/>
      <c r="C445" s="717" t="s">
        <v>177</v>
      </c>
      <c r="D445" s="718" t="s">
        <v>178</v>
      </c>
      <c r="E445" s="717" t="s">
        <v>37</v>
      </c>
      <c r="F445" s="718" t="s">
        <v>178</v>
      </c>
      <c r="G445" s="718" t="s">
        <v>178</v>
      </c>
      <c r="H445" s="719" t="s">
        <v>298</v>
      </c>
      <c r="I445" s="720" t="s">
        <v>300</v>
      </c>
      <c r="J445" s="721" t="s">
        <v>389</v>
      </c>
      <c r="K445" s="722"/>
      <c r="L445" s="719" t="s">
        <v>287</v>
      </c>
      <c r="M445" s="719" t="s">
        <v>287</v>
      </c>
      <c r="N445" s="719" t="s">
        <v>467</v>
      </c>
      <c r="O445" s="719" t="s">
        <v>467</v>
      </c>
      <c r="P445" s="719" t="s">
        <v>467</v>
      </c>
      <c r="Q445" s="587"/>
    </row>
    <row r="446" spans="1:17">
      <c r="B446" s="332"/>
      <c r="C446" s="723">
        <f>IF(D440= "","-",D440)</f>
        <v>2015</v>
      </c>
      <c r="D446" s="674">
        <f>+D439</f>
        <v>15164190.77</v>
      </c>
      <c r="E446" s="724">
        <f>+J443/12*(12-D441)</f>
        <v>192299.52063405796</v>
      </c>
      <c r="F446" s="770">
        <f t="shared" ref="F446:F505" si="40">+D446-E446</f>
        <v>14971891.249365941</v>
      </c>
      <c r="G446" s="674">
        <f t="shared" ref="G446:G505" si="41">+(D446+F446)/2</f>
        <v>15068041.00968297</v>
      </c>
      <c r="H446" s="725">
        <f>+J441*G446+E446</f>
        <v>1713620.7909012213</v>
      </c>
      <c r="I446" s="726">
        <f>+J442*G446+E446</f>
        <v>1713620.7909012213</v>
      </c>
      <c r="J446" s="727">
        <f t="shared" ref="J446:J505" si="42">+I446-H446</f>
        <v>0</v>
      </c>
      <c r="K446" s="727"/>
      <c r="L446" s="728">
        <v>2647738</v>
      </c>
      <c r="M446" s="771">
        <f t="shared" ref="M446:M505" si="43">IF(L446&lt;&gt;0,+H446-L446,0)</f>
        <v>-934117.20909877867</v>
      </c>
      <c r="N446" s="728">
        <v>2647738</v>
      </c>
      <c r="O446" s="771">
        <f t="shared" ref="O446:O505" si="44">IF(N446&lt;&gt;0,+I446-N446,0)</f>
        <v>-934117.20909877867</v>
      </c>
      <c r="P446" s="771">
        <f t="shared" ref="P446:P505" si="45">+O446-M446</f>
        <v>0</v>
      </c>
      <c r="Q446" s="675"/>
    </row>
    <row r="447" spans="1:17">
      <c r="B447" s="332"/>
      <c r="C447" s="723">
        <f>IF(D440="","-",+C446+1)</f>
        <v>2016</v>
      </c>
      <c r="D447" s="674">
        <f t="shared" ref="D447:D505" si="46">F446</f>
        <v>14971891.249365941</v>
      </c>
      <c r="E447" s="730">
        <f>IF(D447&gt;$J$443,$J$443,D447)</f>
        <v>329656.32108695654</v>
      </c>
      <c r="F447" s="730">
        <f t="shared" si="40"/>
        <v>14642234.928278985</v>
      </c>
      <c r="G447" s="674">
        <f t="shared" si="41"/>
        <v>14807063.088822462</v>
      </c>
      <c r="H447" s="724">
        <f>+J441*G447+E447</f>
        <v>1824628.3624251536</v>
      </c>
      <c r="I447" s="731">
        <f>+J442*G447+E447</f>
        <v>1824628.3624251536</v>
      </c>
      <c r="J447" s="727">
        <f t="shared" si="42"/>
        <v>0</v>
      </c>
      <c r="K447" s="727"/>
      <c r="L447" s="732">
        <v>2089493</v>
      </c>
      <c r="M447" s="727">
        <f t="shared" si="43"/>
        <v>-264864.63757484639</v>
      </c>
      <c r="N447" s="732">
        <v>2089493</v>
      </c>
      <c r="O447" s="727">
        <f t="shared" si="44"/>
        <v>-264864.63757484639</v>
      </c>
      <c r="P447" s="727">
        <f t="shared" si="45"/>
        <v>0</v>
      </c>
      <c r="Q447" s="675"/>
    </row>
    <row r="448" spans="1:17">
      <c r="B448" s="332"/>
      <c r="C448" s="723">
        <f>IF(D440="","-",+C447+1)</f>
        <v>2017</v>
      </c>
      <c r="D448" s="674">
        <f t="shared" si="46"/>
        <v>14642234.928278985</v>
      </c>
      <c r="E448" s="730">
        <f t="shared" ref="E448:E505" si="47">IF(D448&gt;$J$443,$J$443,D448)</f>
        <v>329656.32108695654</v>
      </c>
      <c r="F448" s="730">
        <f t="shared" si="40"/>
        <v>14312578.607192028</v>
      </c>
      <c r="G448" s="674">
        <f t="shared" si="41"/>
        <v>14477406.767735507</v>
      </c>
      <c r="H448" s="724">
        <f>+J441*G448+E448</f>
        <v>1791345.1258833017</v>
      </c>
      <c r="I448" s="731">
        <f>+J442*G448+E448</f>
        <v>1791345.1258833017</v>
      </c>
      <c r="J448" s="727">
        <f t="shared" si="42"/>
        <v>0</v>
      </c>
      <c r="K448" s="727"/>
      <c r="L448" s="732">
        <v>2125650</v>
      </c>
      <c r="M448" s="727">
        <f t="shared" si="43"/>
        <v>-334304.87411669828</v>
      </c>
      <c r="N448" s="732">
        <v>2125650</v>
      </c>
      <c r="O448" s="727">
        <f t="shared" si="44"/>
        <v>-334304.87411669828</v>
      </c>
      <c r="P448" s="727">
        <f t="shared" si="45"/>
        <v>0</v>
      </c>
      <c r="Q448" s="675"/>
    </row>
    <row r="449" spans="2:17">
      <c r="B449" s="332"/>
      <c r="C449" s="723">
        <f>IF(D440="","-",+C448+1)</f>
        <v>2018</v>
      </c>
      <c r="D449" s="1453">
        <f t="shared" si="46"/>
        <v>14312578.607192028</v>
      </c>
      <c r="E449" s="730">
        <f t="shared" si="47"/>
        <v>329656.32108695654</v>
      </c>
      <c r="F449" s="730">
        <f t="shared" si="40"/>
        <v>13982922.286105072</v>
      </c>
      <c r="G449" s="674">
        <f t="shared" si="41"/>
        <v>14147750.446648549</v>
      </c>
      <c r="H449" s="724">
        <f>+J441*G449+E449</f>
        <v>1758061.8893414489</v>
      </c>
      <c r="I449" s="731">
        <f>+J442*G449+E449</f>
        <v>1758061.8893414489</v>
      </c>
      <c r="J449" s="727">
        <f t="shared" si="42"/>
        <v>0</v>
      </c>
      <c r="K449" s="727"/>
      <c r="L449" s="732">
        <v>1845050</v>
      </c>
      <c r="M449" s="727">
        <f t="shared" si="43"/>
        <v>-86988.110658551101</v>
      </c>
      <c r="N449" s="732">
        <v>1845050</v>
      </c>
      <c r="O449" s="727">
        <f t="shared" si="44"/>
        <v>-86988.110658551101</v>
      </c>
      <c r="P449" s="727">
        <f t="shared" si="45"/>
        <v>0</v>
      </c>
      <c r="Q449" s="675"/>
    </row>
    <row r="450" spans="2:17">
      <c r="B450" s="332"/>
      <c r="C450" s="723">
        <f>IF(D440="","-",+C449+1)</f>
        <v>2019</v>
      </c>
      <c r="D450" s="1270">
        <f t="shared" si="46"/>
        <v>13982922.286105072</v>
      </c>
      <c r="E450" s="730">
        <f t="shared" si="47"/>
        <v>329656.32108695654</v>
      </c>
      <c r="F450" s="730">
        <f t="shared" si="40"/>
        <v>13653265.965018116</v>
      </c>
      <c r="G450" s="674">
        <f t="shared" si="41"/>
        <v>13818094.125561595</v>
      </c>
      <c r="H450" s="724">
        <f>+J441*G450+E450</f>
        <v>1724778.652799597</v>
      </c>
      <c r="I450" s="731">
        <f>+J442*G450+E450</f>
        <v>1724778.652799597</v>
      </c>
      <c r="J450" s="727">
        <f t="shared" si="42"/>
        <v>0</v>
      </c>
      <c r="K450" s="727"/>
      <c r="L450" s="732">
        <v>1803485</v>
      </c>
      <c r="M450" s="727">
        <f t="shared" si="43"/>
        <v>-78706.34720040299</v>
      </c>
      <c r="N450" s="732">
        <v>1803485</v>
      </c>
      <c r="O450" s="727">
        <f t="shared" si="44"/>
        <v>-78706.34720040299</v>
      </c>
      <c r="P450" s="727">
        <f t="shared" si="45"/>
        <v>0</v>
      </c>
      <c r="Q450" s="675"/>
    </row>
    <row r="451" spans="2:17">
      <c r="B451" s="332"/>
      <c r="C451" s="723">
        <f>IF(D440="","-",+C450+1)</f>
        <v>2020</v>
      </c>
      <c r="D451" s="674">
        <f t="shared" si="46"/>
        <v>13653265.965018116</v>
      </c>
      <c r="E451" s="730">
        <f t="shared" si="47"/>
        <v>329656.32108695654</v>
      </c>
      <c r="F451" s="730">
        <f t="shared" si="40"/>
        <v>13323609.64393116</v>
      </c>
      <c r="G451" s="674">
        <f t="shared" si="41"/>
        <v>13488437.804474637</v>
      </c>
      <c r="H451" s="724">
        <f>+J441*G451+E451</f>
        <v>1691495.4162577447</v>
      </c>
      <c r="I451" s="731">
        <f>+J442*G451+E451</f>
        <v>1691495.4162577447</v>
      </c>
      <c r="J451" s="727">
        <f t="shared" si="42"/>
        <v>0</v>
      </c>
      <c r="K451" s="727"/>
      <c r="L451" s="732">
        <v>1715890.5772976056</v>
      </c>
      <c r="M451" s="727">
        <f t="shared" si="43"/>
        <v>-24395.161039860919</v>
      </c>
      <c r="N451" s="732">
        <v>1715890.5772976056</v>
      </c>
      <c r="O451" s="727">
        <f t="shared" si="44"/>
        <v>-24395.161039860919</v>
      </c>
      <c r="P451" s="727">
        <f t="shared" si="45"/>
        <v>0</v>
      </c>
      <c r="Q451" s="675"/>
    </row>
    <row r="452" spans="2:17">
      <c r="B452" s="332"/>
      <c r="C452" s="723">
        <f>IF(D440="","-",+C451+1)</f>
        <v>2021</v>
      </c>
      <c r="D452" s="674">
        <f t="shared" si="46"/>
        <v>13323609.64393116</v>
      </c>
      <c r="E452" s="730">
        <f t="shared" si="47"/>
        <v>329656.32108695654</v>
      </c>
      <c r="F452" s="730">
        <f t="shared" si="40"/>
        <v>12993953.322844204</v>
      </c>
      <c r="G452" s="674">
        <f t="shared" si="41"/>
        <v>13158781.483387683</v>
      </c>
      <c r="H452" s="724">
        <f>+J441*G452+E452</f>
        <v>1658212.1797158928</v>
      </c>
      <c r="I452" s="731">
        <f>+J442*G452+E452</f>
        <v>1658212.1797158928</v>
      </c>
      <c r="J452" s="727">
        <f t="shared" si="42"/>
        <v>0</v>
      </c>
      <c r="K452" s="727"/>
      <c r="L452" s="732">
        <v>0</v>
      </c>
      <c r="M452" s="727">
        <f t="shared" si="43"/>
        <v>0</v>
      </c>
      <c r="N452" s="732">
        <v>0</v>
      </c>
      <c r="O452" s="727">
        <f t="shared" si="44"/>
        <v>0</v>
      </c>
      <c r="P452" s="727">
        <f t="shared" si="45"/>
        <v>0</v>
      </c>
      <c r="Q452" s="675"/>
    </row>
    <row r="453" spans="2:17">
      <c r="B453" s="332"/>
      <c r="C453" s="723">
        <f>IF(D440="","-",+C452+1)</f>
        <v>2022</v>
      </c>
      <c r="D453" s="674">
        <f t="shared" si="46"/>
        <v>12993953.322844204</v>
      </c>
      <c r="E453" s="730">
        <f t="shared" si="47"/>
        <v>329656.32108695654</v>
      </c>
      <c r="F453" s="730">
        <f t="shared" si="40"/>
        <v>12664297.001757247</v>
      </c>
      <c r="G453" s="674">
        <f t="shared" si="41"/>
        <v>12829125.162300725</v>
      </c>
      <c r="H453" s="724">
        <f>+J441*G453+E453</f>
        <v>1624928.9431740404</v>
      </c>
      <c r="I453" s="731">
        <f>+J442*G453+E453</f>
        <v>1624928.9431740404</v>
      </c>
      <c r="J453" s="727">
        <f t="shared" si="42"/>
        <v>0</v>
      </c>
      <c r="K453" s="727"/>
      <c r="L453" s="732">
        <v>0</v>
      </c>
      <c r="M453" s="727">
        <f t="shared" si="43"/>
        <v>0</v>
      </c>
      <c r="N453" s="732">
        <v>0</v>
      </c>
      <c r="O453" s="727">
        <f t="shared" si="44"/>
        <v>0</v>
      </c>
      <c r="P453" s="727">
        <f t="shared" si="45"/>
        <v>0</v>
      </c>
      <c r="Q453" s="675"/>
    </row>
    <row r="454" spans="2:17">
      <c r="B454" s="332"/>
      <c r="C454" s="723">
        <f>IF(D440="","-",+C453+1)</f>
        <v>2023</v>
      </c>
      <c r="D454" s="674">
        <f t="shared" si="46"/>
        <v>12664297.001757247</v>
      </c>
      <c r="E454" s="730">
        <f t="shared" si="47"/>
        <v>329656.32108695654</v>
      </c>
      <c r="F454" s="730">
        <f t="shared" si="40"/>
        <v>12334640.680670291</v>
      </c>
      <c r="G454" s="674">
        <f t="shared" si="41"/>
        <v>12499468.84121377</v>
      </c>
      <c r="H454" s="724">
        <f>+J441*G454+E454</f>
        <v>1591645.7066321881</v>
      </c>
      <c r="I454" s="731">
        <f>+J442*G454+E454</f>
        <v>1591645.7066321881</v>
      </c>
      <c r="J454" s="727">
        <f t="shared" si="42"/>
        <v>0</v>
      </c>
      <c r="K454" s="727"/>
      <c r="L454" s="732">
        <v>0</v>
      </c>
      <c r="M454" s="727">
        <f t="shared" si="43"/>
        <v>0</v>
      </c>
      <c r="N454" s="732">
        <v>0</v>
      </c>
      <c r="O454" s="727">
        <f t="shared" si="44"/>
        <v>0</v>
      </c>
      <c r="P454" s="727">
        <f t="shared" si="45"/>
        <v>0</v>
      </c>
      <c r="Q454" s="675"/>
    </row>
    <row r="455" spans="2:17">
      <c r="B455" s="332"/>
      <c r="C455" s="723">
        <f>IF(D440="","-",+C454+1)</f>
        <v>2024</v>
      </c>
      <c r="D455" s="674">
        <f t="shared" si="46"/>
        <v>12334640.680670291</v>
      </c>
      <c r="E455" s="730">
        <f t="shared" si="47"/>
        <v>329656.32108695654</v>
      </c>
      <c r="F455" s="730">
        <f t="shared" si="40"/>
        <v>12004984.359583335</v>
      </c>
      <c r="G455" s="674">
        <f t="shared" si="41"/>
        <v>12169812.520126812</v>
      </c>
      <c r="H455" s="724">
        <f>+J441*G455+E455</f>
        <v>1558362.4700903357</v>
      </c>
      <c r="I455" s="731">
        <f>+J442*G455+E455</f>
        <v>1558362.4700903357</v>
      </c>
      <c r="J455" s="727">
        <f t="shared" si="42"/>
        <v>0</v>
      </c>
      <c r="K455" s="727"/>
      <c r="L455" s="732">
        <v>0</v>
      </c>
      <c r="M455" s="727">
        <f t="shared" si="43"/>
        <v>0</v>
      </c>
      <c r="N455" s="732">
        <v>0</v>
      </c>
      <c r="O455" s="727">
        <f t="shared" si="44"/>
        <v>0</v>
      </c>
      <c r="P455" s="727">
        <f t="shared" si="45"/>
        <v>0</v>
      </c>
      <c r="Q455" s="675"/>
    </row>
    <row r="456" spans="2:17">
      <c r="B456" s="332"/>
      <c r="C456" s="723">
        <f>IF(D440="","-",+C455+1)</f>
        <v>2025</v>
      </c>
      <c r="D456" s="674">
        <f t="shared" si="46"/>
        <v>12004984.359583335</v>
      </c>
      <c r="E456" s="730">
        <f t="shared" si="47"/>
        <v>329656.32108695654</v>
      </c>
      <c r="F456" s="730">
        <f t="shared" si="40"/>
        <v>11675328.038496379</v>
      </c>
      <c r="G456" s="674">
        <f t="shared" si="41"/>
        <v>11840156.199039858</v>
      </c>
      <c r="H456" s="724">
        <f>+J441*G456+E456</f>
        <v>1525079.2335484838</v>
      </c>
      <c r="I456" s="731">
        <f>+J442*G456+E456</f>
        <v>1525079.2335484838</v>
      </c>
      <c r="J456" s="727">
        <f t="shared" si="42"/>
        <v>0</v>
      </c>
      <c r="K456" s="727"/>
      <c r="L456" s="732">
        <v>0</v>
      </c>
      <c r="M456" s="727">
        <f t="shared" si="43"/>
        <v>0</v>
      </c>
      <c r="N456" s="732">
        <v>0</v>
      </c>
      <c r="O456" s="727">
        <f t="shared" si="44"/>
        <v>0</v>
      </c>
      <c r="P456" s="727">
        <f t="shared" si="45"/>
        <v>0</v>
      </c>
      <c r="Q456" s="675"/>
    </row>
    <row r="457" spans="2:17">
      <c r="B457" s="332"/>
      <c r="C457" s="723">
        <f>IF(D440="","-",+C456+1)</f>
        <v>2026</v>
      </c>
      <c r="D457" s="674">
        <f t="shared" si="46"/>
        <v>11675328.038496379</v>
      </c>
      <c r="E457" s="730">
        <f t="shared" si="47"/>
        <v>329656.32108695654</v>
      </c>
      <c r="F457" s="730">
        <f t="shared" si="40"/>
        <v>11345671.717409423</v>
      </c>
      <c r="G457" s="674">
        <f t="shared" si="41"/>
        <v>11510499.8779529</v>
      </c>
      <c r="H457" s="724">
        <f>+J441*G457+E457</f>
        <v>1491795.9970066315</v>
      </c>
      <c r="I457" s="731">
        <f>+J442*G457+E457</f>
        <v>1491795.9970066315</v>
      </c>
      <c r="J457" s="727">
        <f t="shared" si="42"/>
        <v>0</v>
      </c>
      <c r="K457" s="727"/>
      <c r="L457" s="732"/>
      <c r="M457" s="727">
        <f t="shared" si="43"/>
        <v>0</v>
      </c>
      <c r="N457" s="732"/>
      <c r="O457" s="727">
        <f t="shared" si="44"/>
        <v>0</v>
      </c>
      <c r="P457" s="727">
        <f t="shared" si="45"/>
        <v>0</v>
      </c>
      <c r="Q457" s="675"/>
    </row>
    <row r="458" spans="2:17">
      <c r="B458" s="332"/>
      <c r="C458" s="723">
        <f>IF(D440="","-",+C457+1)</f>
        <v>2027</v>
      </c>
      <c r="D458" s="674">
        <f t="shared" si="46"/>
        <v>11345671.717409423</v>
      </c>
      <c r="E458" s="730">
        <f t="shared" si="47"/>
        <v>329656.32108695654</v>
      </c>
      <c r="F458" s="730">
        <f t="shared" si="40"/>
        <v>11016015.396322466</v>
      </c>
      <c r="G458" s="674">
        <f t="shared" si="41"/>
        <v>11180843.556865945</v>
      </c>
      <c r="H458" s="724">
        <f>+J441*G458+E458</f>
        <v>1458512.7604647791</v>
      </c>
      <c r="I458" s="731">
        <f>+J442*G458+E458</f>
        <v>1458512.7604647791</v>
      </c>
      <c r="J458" s="727">
        <f t="shared" si="42"/>
        <v>0</v>
      </c>
      <c r="K458" s="727"/>
      <c r="L458" s="732"/>
      <c r="M458" s="727">
        <f t="shared" si="43"/>
        <v>0</v>
      </c>
      <c r="N458" s="732"/>
      <c r="O458" s="727">
        <f t="shared" si="44"/>
        <v>0</v>
      </c>
      <c r="P458" s="727">
        <f t="shared" si="45"/>
        <v>0</v>
      </c>
      <c r="Q458" s="675"/>
    </row>
    <row r="459" spans="2:17">
      <c r="B459" s="332"/>
      <c r="C459" s="723">
        <f>IF(D440="","-",+C458+1)</f>
        <v>2028</v>
      </c>
      <c r="D459" s="674">
        <f t="shared" si="46"/>
        <v>11016015.396322466</v>
      </c>
      <c r="E459" s="730">
        <f t="shared" si="47"/>
        <v>329656.32108695654</v>
      </c>
      <c r="F459" s="730">
        <f t="shared" si="40"/>
        <v>10686359.07523551</v>
      </c>
      <c r="G459" s="674">
        <f t="shared" si="41"/>
        <v>10851187.235778987</v>
      </c>
      <c r="H459" s="724">
        <f>+J441*G459+E459</f>
        <v>1425229.5239229267</v>
      </c>
      <c r="I459" s="731">
        <f>+J442*G459+E459</f>
        <v>1425229.5239229267</v>
      </c>
      <c r="J459" s="727">
        <f t="shared" si="42"/>
        <v>0</v>
      </c>
      <c r="K459" s="727"/>
      <c r="L459" s="732"/>
      <c r="M459" s="727">
        <f t="shared" si="43"/>
        <v>0</v>
      </c>
      <c r="N459" s="732"/>
      <c r="O459" s="727">
        <f t="shared" si="44"/>
        <v>0</v>
      </c>
      <c r="P459" s="727">
        <f t="shared" si="45"/>
        <v>0</v>
      </c>
      <c r="Q459" s="675"/>
    </row>
    <row r="460" spans="2:17">
      <c r="B460" s="332"/>
      <c r="C460" s="723">
        <f>IF(D440="","-",+C459+1)</f>
        <v>2029</v>
      </c>
      <c r="D460" s="674">
        <f t="shared" si="46"/>
        <v>10686359.07523551</v>
      </c>
      <c r="E460" s="730">
        <f t="shared" si="47"/>
        <v>329656.32108695654</v>
      </c>
      <c r="F460" s="730">
        <f t="shared" si="40"/>
        <v>10356702.754148554</v>
      </c>
      <c r="G460" s="674">
        <f t="shared" si="41"/>
        <v>10521530.914692033</v>
      </c>
      <c r="H460" s="724">
        <f>+J441*G460+E460</f>
        <v>1391946.2873810749</v>
      </c>
      <c r="I460" s="731">
        <f>+J442*G460+E460</f>
        <v>1391946.2873810749</v>
      </c>
      <c r="J460" s="727">
        <f t="shared" si="42"/>
        <v>0</v>
      </c>
      <c r="K460" s="727"/>
      <c r="L460" s="732"/>
      <c r="M460" s="727">
        <f t="shared" si="43"/>
        <v>0</v>
      </c>
      <c r="N460" s="732"/>
      <c r="O460" s="727">
        <f t="shared" si="44"/>
        <v>0</v>
      </c>
      <c r="P460" s="727">
        <f t="shared" si="45"/>
        <v>0</v>
      </c>
      <c r="Q460" s="675"/>
    </row>
    <row r="461" spans="2:17">
      <c r="B461" s="332"/>
      <c r="C461" s="723">
        <f>IF(D440="","-",+C460+1)</f>
        <v>2030</v>
      </c>
      <c r="D461" s="674">
        <f t="shared" si="46"/>
        <v>10356702.754148554</v>
      </c>
      <c r="E461" s="730">
        <f t="shared" si="47"/>
        <v>329656.32108695654</v>
      </c>
      <c r="F461" s="730">
        <f t="shared" si="40"/>
        <v>10027046.433061598</v>
      </c>
      <c r="G461" s="674">
        <f t="shared" si="41"/>
        <v>10191874.593605075</v>
      </c>
      <c r="H461" s="724">
        <f>+J441*G461+E461</f>
        <v>1358663.0508392225</v>
      </c>
      <c r="I461" s="731">
        <f>+J442*G461+E461</f>
        <v>1358663.0508392225</v>
      </c>
      <c r="J461" s="727">
        <f t="shared" si="42"/>
        <v>0</v>
      </c>
      <c r="K461" s="727"/>
      <c r="L461" s="732"/>
      <c r="M461" s="727">
        <f t="shared" si="43"/>
        <v>0</v>
      </c>
      <c r="N461" s="732"/>
      <c r="O461" s="727">
        <f t="shared" si="44"/>
        <v>0</v>
      </c>
      <c r="P461" s="727">
        <f t="shared" si="45"/>
        <v>0</v>
      </c>
      <c r="Q461" s="675"/>
    </row>
    <row r="462" spans="2:17">
      <c r="B462" s="332"/>
      <c r="C462" s="723">
        <f>IF(D440="","-",+C461+1)</f>
        <v>2031</v>
      </c>
      <c r="D462" s="674">
        <f t="shared" si="46"/>
        <v>10027046.433061598</v>
      </c>
      <c r="E462" s="730">
        <f t="shared" si="47"/>
        <v>329656.32108695654</v>
      </c>
      <c r="F462" s="730">
        <f t="shared" si="40"/>
        <v>9697390.1119746417</v>
      </c>
      <c r="G462" s="674">
        <f t="shared" si="41"/>
        <v>9862218.2725181207</v>
      </c>
      <c r="H462" s="724">
        <f>+J441*G462+E462</f>
        <v>1325379.8142973704</v>
      </c>
      <c r="I462" s="731">
        <f>+J442*G462+E462</f>
        <v>1325379.8142973704</v>
      </c>
      <c r="J462" s="727">
        <f t="shared" si="42"/>
        <v>0</v>
      </c>
      <c r="K462" s="727"/>
      <c r="L462" s="732"/>
      <c r="M462" s="727">
        <f t="shared" si="43"/>
        <v>0</v>
      </c>
      <c r="N462" s="732"/>
      <c r="O462" s="727">
        <f t="shared" si="44"/>
        <v>0</v>
      </c>
      <c r="P462" s="727">
        <f t="shared" si="45"/>
        <v>0</v>
      </c>
      <c r="Q462" s="675"/>
    </row>
    <row r="463" spans="2:17">
      <c r="B463" s="332"/>
      <c r="C463" s="723">
        <f>IF(D440="","-",+C462+1)</f>
        <v>2032</v>
      </c>
      <c r="D463" s="674">
        <f t="shared" si="46"/>
        <v>9697390.1119746417</v>
      </c>
      <c r="E463" s="730">
        <f t="shared" si="47"/>
        <v>329656.32108695654</v>
      </c>
      <c r="F463" s="730">
        <f t="shared" si="40"/>
        <v>9367733.7908876855</v>
      </c>
      <c r="G463" s="674">
        <f t="shared" si="41"/>
        <v>9532561.9514311627</v>
      </c>
      <c r="H463" s="724">
        <f>+J441*G463+E463</f>
        <v>1292096.5777555178</v>
      </c>
      <c r="I463" s="731">
        <f>+J442*G463+E463</f>
        <v>1292096.5777555178</v>
      </c>
      <c r="J463" s="727">
        <f t="shared" si="42"/>
        <v>0</v>
      </c>
      <c r="K463" s="727"/>
      <c r="L463" s="732"/>
      <c r="M463" s="727">
        <f t="shared" si="43"/>
        <v>0</v>
      </c>
      <c r="N463" s="732"/>
      <c r="O463" s="727">
        <f t="shared" si="44"/>
        <v>0</v>
      </c>
      <c r="P463" s="727">
        <f t="shared" si="45"/>
        <v>0</v>
      </c>
      <c r="Q463" s="675"/>
    </row>
    <row r="464" spans="2:17">
      <c r="B464" s="332"/>
      <c r="C464" s="723">
        <f>IF(D440="","-",+C463+1)</f>
        <v>2033</v>
      </c>
      <c r="D464" s="674">
        <f t="shared" si="46"/>
        <v>9367733.7908876855</v>
      </c>
      <c r="E464" s="730">
        <f t="shared" si="47"/>
        <v>329656.32108695654</v>
      </c>
      <c r="F464" s="730">
        <f t="shared" si="40"/>
        <v>9038077.4698007293</v>
      </c>
      <c r="G464" s="674">
        <f t="shared" si="41"/>
        <v>9202905.6303442083</v>
      </c>
      <c r="H464" s="724">
        <f>+J441*G464+E464</f>
        <v>1258813.3412136659</v>
      </c>
      <c r="I464" s="731">
        <f>+J442*G464+E464</f>
        <v>1258813.3412136659</v>
      </c>
      <c r="J464" s="727">
        <f t="shared" si="42"/>
        <v>0</v>
      </c>
      <c r="K464" s="727"/>
      <c r="L464" s="732"/>
      <c r="M464" s="727">
        <f t="shared" si="43"/>
        <v>0</v>
      </c>
      <c r="N464" s="732"/>
      <c r="O464" s="727">
        <f t="shared" si="44"/>
        <v>0</v>
      </c>
      <c r="P464" s="727">
        <f t="shared" si="45"/>
        <v>0</v>
      </c>
      <c r="Q464" s="675"/>
    </row>
    <row r="465" spans="2:17">
      <c r="B465" s="332"/>
      <c r="C465" s="723">
        <f>IF(D440="","-",+C464+1)</f>
        <v>2034</v>
      </c>
      <c r="D465" s="674">
        <f t="shared" si="46"/>
        <v>9038077.4698007293</v>
      </c>
      <c r="E465" s="730">
        <f t="shared" si="47"/>
        <v>329656.32108695654</v>
      </c>
      <c r="F465" s="730">
        <f t="shared" si="40"/>
        <v>8708421.1487137731</v>
      </c>
      <c r="G465" s="674">
        <f t="shared" si="41"/>
        <v>8873249.3092572503</v>
      </c>
      <c r="H465" s="724">
        <f>+J441*G465+E465</f>
        <v>1225530.1046718135</v>
      </c>
      <c r="I465" s="731">
        <f>+J442*G465+E465</f>
        <v>1225530.1046718135</v>
      </c>
      <c r="J465" s="727">
        <f t="shared" si="42"/>
        <v>0</v>
      </c>
      <c r="K465" s="727"/>
      <c r="L465" s="732"/>
      <c r="M465" s="727">
        <f t="shared" si="43"/>
        <v>0</v>
      </c>
      <c r="N465" s="732"/>
      <c r="O465" s="727">
        <f t="shared" si="44"/>
        <v>0</v>
      </c>
      <c r="P465" s="727">
        <f t="shared" si="45"/>
        <v>0</v>
      </c>
      <c r="Q465" s="675"/>
    </row>
    <row r="466" spans="2:17">
      <c r="B466" s="332"/>
      <c r="C466" s="723">
        <f>IF(D440="","-",+C465+1)</f>
        <v>2035</v>
      </c>
      <c r="D466" s="674">
        <f t="shared" si="46"/>
        <v>8708421.1487137731</v>
      </c>
      <c r="E466" s="730">
        <f t="shared" si="47"/>
        <v>329656.32108695654</v>
      </c>
      <c r="F466" s="730">
        <f t="shared" si="40"/>
        <v>8378764.8276268169</v>
      </c>
      <c r="G466" s="674">
        <f t="shared" si="41"/>
        <v>8543592.988170296</v>
      </c>
      <c r="H466" s="724">
        <f>+J441*G466+E466</f>
        <v>1192246.8681299614</v>
      </c>
      <c r="I466" s="731">
        <f>+J442*G466+E466</f>
        <v>1192246.8681299614</v>
      </c>
      <c r="J466" s="727">
        <f t="shared" si="42"/>
        <v>0</v>
      </c>
      <c r="K466" s="727"/>
      <c r="L466" s="732"/>
      <c r="M466" s="727">
        <f t="shared" si="43"/>
        <v>0</v>
      </c>
      <c r="N466" s="732"/>
      <c r="O466" s="727">
        <f t="shared" si="44"/>
        <v>0</v>
      </c>
      <c r="P466" s="727">
        <f t="shared" si="45"/>
        <v>0</v>
      </c>
      <c r="Q466" s="675"/>
    </row>
    <row r="467" spans="2:17">
      <c r="B467" s="332"/>
      <c r="C467" s="723">
        <f>IF(D440="","-",+C466+1)</f>
        <v>2036</v>
      </c>
      <c r="D467" s="674">
        <f t="shared" si="46"/>
        <v>8378764.8276268169</v>
      </c>
      <c r="E467" s="730">
        <f t="shared" si="47"/>
        <v>329656.32108695654</v>
      </c>
      <c r="F467" s="730">
        <f t="shared" si="40"/>
        <v>8049108.5065398607</v>
      </c>
      <c r="G467" s="674">
        <f t="shared" si="41"/>
        <v>8213936.6670833388</v>
      </c>
      <c r="H467" s="724">
        <f>+J441*G467+E467</f>
        <v>1158963.6315881093</v>
      </c>
      <c r="I467" s="731">
        <f>+J442*G467+E467</f>
        <v>1158963.6315881093</v>
      </c>
      <c r="J467" s="727">
        <f t="shared" si="42"/>
        <v>0</v>
      </c>
      <c r="K467" s="727"/>
      <c r="L467" s="732"/>
      <c r="M467" s="727">
        <f t="shared" si="43"/>
        <v>0</v>
      </c>
      <c r="N467" s="732"/>
      <c r="O467" s="727">
        <f t="shared" si="44"/>
        <v>0</v>
      </c>
      <c r="P467" s="727">
        <f t="shared" si="45"/>
        <v>0</v>
      </c>
      <c r="Q467" s="675"/>
    </row>
    <row r="468" spans="2:17">
      <c r="B468" s="332"/>
      <c r="C468" s="723">
        <f>IF(D440="","-",+C467+1)</f>
        <v>2037</v>
      </c>
      <c r="D468" s="674">
        <f t="shared" si="46"/>
        <v>8049108.5065398607</v>
      </c>
      <c r="E468" s="730">
        <f t="shared" si="47"/>
        <v>329656.32108695654</v>
      </c>
      <c r="F468" s="730">
        <f t="shared" si="40"/>
        <v>7719452.1854529046</v>
      </c>
      <c r="G468" s="674">
        <f t="shared" si="41"/>
        <v>7884280.3459963826</v>
      </c>
      <c r="H468" s="724">
        <f>+J441*G468+E468</f>
        <v>1125680.3950462569</v>
      </c>
      <c r="I468" s="731">
        <f>+J442*G468+E468</f>
        <v>1125680.3950462569</v>
      </c>
      <c r="J468" s="727">
        <f t="shared" si="42"/>
        <v>0</v>
      </c>
      <c r="K468" s="727"/>
      <c r="L468" s="732"/>
      <c r="M468" s="727">
        <f t="shared" si="43"/>
        <v>0</v>
      </c>
      <c r="N468" s="732"/>
      <c r="O468" s="727">
        <f t="shared" si="44"/>
        <v>0</v>
      </c>
      <c r="P468" s="727">
        <f t="shared" si="45"/>
        <v>0</v>
      </c>
      <c r="Q468" s="675"/>
    </row>
    <row r="469" spans="2:17">
      <c r="B469" s="332"/>
      <c r="C469" s="723">
        <f>IF(D440="","-",+C468+1)</f>
        <v>2038</v>
      </c>
      <c r="D469" s="674">
        <f t="shared" si="46"/>
        <v>7719452.1854529046</v>
      </c>
      <c r="E469" s="730">
        <f t="shared" si="47"/>
        <v>329656.32108695654</v>
      </c>
      <c r="F469" s="730">
        <f t="shared" si="40"/>
        <v>7389795.8643659484</v>
      </c>
      <c r="G469" s="674">
        <f t="shared" si="41"/>
        <v>7554624.0249094265</v>
      </c>
      <c r="H469" s="724">
        <f>+J441*G469+E469</f>
        <v>1092397.1585044046</v>
      </c>
      <c r="I469" s="731">
        <f>+J442*G469+E469</f>
        <v>1092397.1585044046</v>
      </c>
      <c r="J469" s="727">
        <f t="shared" si="42"/>
        <v>0</v>
      </c>
      <c r="K469" s="727"/>
      <c r="L469" s="732"/>
      <c r="M469" s="727">
        <f t="shared" si="43"/>
        <v>0</v>
      </c>
      <c r="N469" s="732"/>
      <c r="O469" s="727">
        <f t="shared" si="44"/>
        <v>0</v>
      </c>
      <c r="P469" s="727">
        <f t="shared" si="45"/>
        <v>0</v>
      </c>
      <c r="Q469" s="675"/>
    </row>
    <row r="470" spans="2:17">
      <c r="B470" s="332"/>
      <c r="C470" s="723">
        <f>IF(D440="","-",+C469+1)</f>
        <v>2039</v>
      </c>
      <c r="D470" s="674">
        <f t="shared" si="46"/>
        <v>7389795.8643659484</v>
      </c>
      <c r="E470" s="730">
        <f t="shared" si="47"/>
        <v>329656.32108695654</v>
      </c>
      <c r="F470" s="730">
        <f t="shared" si="40"/>
        <v>7060139.5432789922</v>
      </c>
      <c r="G470" s="674">
        <f t="shared" si="41"/>
        <v>7224967.7038224703</v>
      </c>
      <c r="H470" s="724">
        <f>+J441*G470+E470</f>
        <v>1059113.9219625525</v>
      </c>
      <c r="I470" s="731">
        <f>+J442*G470+E470</f>
        <v>1059113.9219625525</v>
      </c>
      <c r="J470" s="727">
        <f t="shared" si="42"/>
        <v>0</v>
      </c>
      <c r="K470" s="727"/>
      <c r="L470" s="732"/>
      <c r="M470" s="727">
        <f t="shared" si="43"/>
        <v>0</v>
      </c>
      <c r="N470" s="732"/>
      <c r="O470" s="727">
        <f t="shared" si="44"/>
        <v>0</v>
      </c>
      <c r="P470" s="727">
        <f t="shared" si="45"/>
        <v>0</v>
      </c>
      <c r="Q470" s="675"/>
    </row>
    <row r="471" spans="2:17">
      <c r="B471" s="332"/>
      <c r="C471" s="723">
        <f>IF(D440="","-",+C470+1)</f>
        <v>2040</v>
      </c>
      <c r="D471" s="674">
        <f t="shared" si="46"/>
        <v>7060139.5432789922</v>
      </c>
      <c r="E471" s="730">
        <f t="shared" si="47"/>
        <v>329656.32108695654</v>
      </c>
      <c r="F471" s="730">
        <f t="shared" si="40"/>
        <v>6730483.222192036</v>
      </c>
      <c r="G471" s="674">
        <f t="shared" si="41"/>
        <v>6895311.3827355141</v>
      </c>
      <c r="H471" s="724">
        <f>+J441*G471+E471</f>
        <v>1025830.6854207002</v>
      </c>
      <c r="I471" s="731">
        <f>+J442*G471+E471</f>
        <v>1025830.6854207002</v>
      </c>
      <c r="J471" s="727">
        <f t="shared" si="42"/>
        <v>0</v>
      </c>
      <c r="K471" s="727"/>
      <c r="L471" s="732"/>
      <c r="M471" s="727">
        <f t="shared" si="43"/>
        <v>0</v>
      </c>
      <c r="N471" s="732"/>
      <c r="O471" s="727">
        <f t="shared" si="44"/>
        <v>0</v>
      </c>
      <c r="P471" s="727">
        <f t="shared" si="45"/>
        <v>0</v>
      </c>
      <c r="Q471" s="675"/>
    </row>
    <row r="472" spans="2:17">
      <c r="B472" s="332"/>
      <c r="C472" s="723">
        <f>IF(D440="","-",+C471+1)</f>
        <v>2041</v>
      </c>
      <c r="D472" s="674">
        <f t="shared" si="46"/>
        <v>6730483.222192036</v>
      </c>
      <c r="E472" s="730">
        <f t="shared" si="47"/>
        <v>329656.32108695654</v>
      </c>
      <c r="F472" s="730">
        <f t="shared" si="40"/>
        <v>6400826.9011050798</v>
      </c>
      <c r="G472" s="674">
        <f t="shared" si="41"/>
        <v>6565655.0616485579</v>
      </c>
      <c r="H472" s="724">
        <f>+J441*G472+E472</f>
        <v>992547.44887884799</v>
      </c>
      <c r="I472" s="731">
        <f>+J442*G472+E472</f>
        <v>992547.44887884799</v>
      </c>
      <c r="J472" s="727">
        <f t="shared" si="42"/>
        <v>0</v>
      </c>
      <c r="K472" s="727"/>
      <c r="L472" s="732"/>
      <c r="M472" s="727">
        <f t="shared" si="43"/>
        <v>0</v>
      </c>
      <c r="N472" s="732"/>
      <c r="O472" s="727">
        <f t="shared" si="44"/>
        <v>0</v>
      </c>
      <c r="P472" s="727">
        <f t="shared" si="45"/>
        <v>0</v>
      </c>
      <c r="Q472" s="675"/>
    </row>
    <row r="473" spans="2:17">
      <c r="B473" s="332"/>
      <c r="C473" s="723">
        <f>IF(D440="","-",+C472+1)</f>
        <v>2042</v>
      </c>
      <c r="D473" s="674">
        <f t="shared" si="46"/>
        <v>6400826.9011050798</v>
      </c>
      <c r="E473" s="730">
        <f t="shared" si="47"/>
        <v>329656.32108695654</v>
      </c>
      <c r="F473" s="730">
        <f t="shared" si="40"/>
        <v>6071170.5800181236</v>
      </c>
      <c r="G473" s="674">
        <f t="shared" si="41"/>
        <v>6235998.7405616017</v>
      </c>
      <c r="H473" s="724">
        <f>+J441*G473+E473</f>
        <v>959264.21233699587</v>
      </c>
      <c r="I473" s="731">
        <f>+J442*G473+E473</f>
        <v>959264.21233699587</v>
      </c>
      <c r="J473" s="727">
        <f t="shared" si="42"/>
        <v>0</v>
      </c>
      <c r="K473" s="727"/>
      <c r="L473" s="732"/>
      <c r="M473" s="727">
        <f t="shared" si="43"/>
        <v>0</v>
      </c>
      <c r="N473" s="732"/>
      <c r="O473" s="727">
        <f t="shared" si="44"/>
        <v>0</v>
      </c>
      <c r="P473" s="727">
        <f t="shared" si="45"/>
        <v>0</v>
      </c>
      <c r="Q473" s="675"/>
    </row>
    <row r="474" spans="2:17">
      <c r="B474" s="332"/>
      <c r="C474" s="723">
        <f>IF(D440="","-",+C473+1)</f>
        <v>2043</v>
      </c>
      <c r="D474" s="674">
        <f t="shared" si="46"/>
        <v>6071170.5800181236</v>
      </c>
      <c r="E474" s="730">
        <f t="shared" si="47"/>
        <v>329656.32108695654</v>
      </c>
      <c r="F474" s="730">
        <f t="shared" si="40"/>
        <v>5741514.2589311674</v>
      </c>
      <c r="G474" s="674">
        <f t="shared" si="41"/>
        <v>5906342.4194746455</v>
      </c>
      <c r="H474" s="724">
        <f>+J441*G474+E474</f>
        <v>925980.97579514363</v>
      </c>
      <c r="I474" s="731">
        <f>+J442*G474+E474</f>
        <v>925980.97579514363</v>
      </c>
      <c r="J474" s="727">
        <f t="shared" si="42"/>
        <v>0</v>
      </c>
      <c r="K474" s="727"/>
      <c r="L474" s="732"/>
      <c r="M474" s="727">
        <f t="shared" si="43"/>
        <v>0</v>
      </c>
      <c r="N474" s="732"/>
      <c r="O474" s="727">
        <f t="shared" si="44"/>
        <v>0</v>
      </c>
      <c r="P474" s="727">
        <f t="shared" si="45"/>
        <v>0</v>
      </c>
      <c r="Q474" s="675"/>
    </row>
    <row r="475" spans="2:17">
      <c r="B475" s="332"/>
      <c r="C475" s="723">
        <f>IF(D440="","-",+C474+1)</f>
        <v>2044</v>
      </c>
      <c r="D475" s="674">
        <f t="shared" si="46"/>
        <v>5741514.2589311674</v>
      </c>
      <c r="E475" s="730">
        <f t="shared" si="47"/>
        <v>329656.32108695654</v>
      </c>
      <c r="F475" s="730">
        <f t="shared" si="40"/>
        <v>5411857.9378442112</v>
      </c>
      <c r="G475" s="674">
        <f t="shared" si="41"/>
        <v>5576686.0983876893</v>
      </c>
      <c r="H475" s="724">
        <f>+J441*G475+E475</f>
        <v>892697.73925329139</v>
      </c>
      <c r="I475" s="731">
        <f>+J442*G475+E475</f>
        <v>892697.73925329139</v>
      </c>
      <c r="J475" s="727">
        <f t="shared" si="42"/>
        <v>0</v>
      </c>
      <c r="K475" s="727"/>
      <c r="L475" s="732"/>
      <c r="M475" s="727">
        <f t="shared" si="43"/>
        <v>0</v>
      </c>
      <c r="N475" s="732"/>
      <c r="O475" s="727">
        <f t="shared" si="44"/>
        <v>0</v>
      </c>
      <c r="P475" s="727">
        <f t="shared" si="45"/>
        <v>0</v>
      </c>
      <c r="Q475" s="675"/>
    </row>
    <row r="476" spans="2:17">
      <c r="B476" s="332"/>
      <c r="C476" s="723">
        <f>IF(D440="","-",+C475+1)</f>
        <v>2045</v>
      </c>
      <c r="D476" s="674">
        <f t="shared" si="46"/>
        <v>5411857.9378442112</v>
      </c>
      <c r="E476" s="730">
        <f t="shared" si="47"/>
        <v>329656.32108695654</v>
      </c>
      <c r="F476" s="730">
        <f t="shared" si="40"/>
        <v>5082201.616757255</v>
      </c>
      <c r="G476" s="674">
        <f t="shared" si="41"/>
        <v>5247029.7773007331</v>
      </c>
      <c r="H476" s="724">
        <f>+J441*G476+E476</f>
        <v>859414.50271143916</v>
      </c>
      <c r="I476" s="731">
        <f>+J442*G476+E476</f>
        <v>859414.50271143916</v>
      </c>
      <c r="J476" s="727">
        <f t="shared" si="42"/>
        <v>0</v>
      </c>
      <c r="K476" s="727"/>
      <c r="L476" s="732"/>
      <c r="M476" s="727">
        <f t="shared" si="43"/>
        <v>0</v>
      </c>
      <c r="N476" s="732"/>
      <c r="O476" s="727">
        <f t="shared" si="44"/>
        <v>0</v>
      </c>
      <c r="P476" s="727">
        <f t="shared" si="45"/>
        <v>0</v>
      </c>
      <c r="Q476" s="675"/>
    </row>
    <row r="477" spans="2:17">
      <c r="B477" s="332"/>
      <c r="C477" s="723">
        <f>IF(D440="","-",+C476+1)</f>
        <v>2046</v>
      </c>
      <c r="D477" s="674">
        <f t="shared" si="46"/>
        <v>5082201.616757255</v>
      </c>
      <c r="E477" s="730">
        <f t="shared" si="47"/>
        <v>329656.32108695654</v>
      </c>
      <c r="F477" s="730">
        <f t="shared" si="40"/>
        <v>4752545.2956702989</v>
      </c>
      <c r="G477" s="674">
        <f t="shared" si="41"/>
        <v>4917373.456213777</v>
      </c>
      <c r="H477" s="724">
        <f>+J441*G477+E477</f>
        <v>826131.26616958692</v>
      </c>
      <c r="I477" s="731">
        <f>+J442*G477+E477</f>
        <v>826131.26616958692</v>
      </c>
      <c r="J477" s="727">
        <f t="shared" si="42"/>
        <v>0</v>
      </c>
      <c r="K477" s="727"/>
      <c r="L477" s="732"/>
      <c r="M477" s="727">
        <f t="shared" si="43"/>
        <v>0</v>
      </c>
      <c r="N477" s="732"/>
      <c r="O477" s="727">
        <f t="shared" si="44"/>
        <v>0</v>
      </c>
      <c r="P477" s="727">
        <f t="shared" si="45"/>
        <v>0</v>
      </c>
      <c r="Q477" s="675"/>
    </row>
    <row r="478" spans="2:17">
      <c r="B478" s="332"/>
      <c r="C478" s="723">
        <f>IF(D440="","-",+C477+1)</f>
        <v>2047</v>
      </c>
      <c r="D478" s="674">
        <f t="shared" si="46"/>
        <v>4752545.2956702989</v>
      </c>
      <c r="E478" s="730">
        <f t="shared" si="47"/>
        <v>329656.32108695654</v>
      </c>
      <c r="F478" s="730">
        <f t="shared" si="40"/>
        <v>4422888.9745833427</v>
      </c>
      <c r="G478" s="674">
        <f t="shared" si="41"/>
        <v>4587717.1351268208</v>
      </c>
      <c r="H478" s="724">
        <f>+J441*G478+E478</f>
        <v>792848.02962773468</v>
      </c>
      <c r="I478" s="731">
        <f>+J442*G478+E478</f>
        <v>792848.02962773468</v>
      </c>
      <c r="J478" s="727">
        <f t="shared" si="42"/>
        <v>0</v>
      </c>
      <c r="K478" s="727"/>
      <c r="L478" s="732"/>
      <c r="M478" s="727">
        <f t="shared" si="43"/>
        <v>0</v>
      </c>
      <c r="N478" s="732"/>
      <c r="O478" s="727">
        <f t="shared" si="44"/>
        <v>0</v>
      </c>
      <c r="P478" s="727">
        <f t="shared" si="45"/>
        <v>0</v>
      </c>
      <c r="Q478" s="675"/>
    </row>
    <row r="479" spans="2:17">
      <c r="B479" s="332"/>
      <c r="C479" s="723">
        <f>IF(D440="","-",+C478+1)</f>
        <v>2048</v>
      </c>
      <c r="D479" s="674">
        <f t="shared" si="46"/>
        <v>4422888.9745833427</v>
      </c>
      <c r="E479" s="730">
        <f t="shared" si="47"/>
        <v>329656.32108695654</v>
      </c>
      <c r="F479" s="730">
        <f t="shared" si="40"/>
        <v>4093232.653496386</v>
      </c>
      <c r="G479" s="674">
        <f t="shared" si="41"/>
        <v>4258060.8140398646</v>
      </c>
      <c r="H479" s="724">
        <f>+J441*G479+E479</f>
        <v>759564.79308588244</v>
      </c>
      <c r="I479" s="731">
        <f>+J442*G479+E479</f>
        <v>759564.79308588244</v>
      </c>
      <c r="J479" s="727">
        <f t="shared" si="42"/>
        <v>0</v>
      </c>
      <c r="K479" s="727"/>
      <c r="L479" s="732"/>
      <c r="M479" s="727">
        <f t="shared" si="43"/>
        <v>0</v>
      </c>
      <c r="N479" s="732"/>
      <c r="O479" s="727">
        <f t="shared" si="44"/>
        <v>0</v>
      </c>
      <c r="P479" s="727">
        <f t="shared" si="45"/>
        <v>0</v>
      </c>
      <c r="Q479" s="675"/>
    </row>
    <row r="480" spans="2:17">
      <c r="B480" s="332"/>
      <c r="C480" s="723">
        <f>IF(D440="","-",+C479+1)</f>
        <v>2049</v>
      </c>
      <c r="D480" s="674">
        <f t="shared" si="46"/>
        <v>4093232.653496386</v>
      </c>
      <c r="E480" s="730">
        <f t="shared" si="47"/>
        <v>329656.32108695654</v>
      </c>
      <c r="F480" s="730">
        <f t="shared" si="40"/>
        <v>3763576.3324094294</v>
      </c>
      <c r="G480" s="674">
        <f t="shared" si="41"/>
        <v>3928404.4929529075</v>
      </c>
      <c r="H480" s="724">
        <f>+J441*G480+E480</f>
        <v>726281.55654403009</v>
      </c>
      <c r="I480" s="731">
        <f>+J442*G480+E480</f>
        <v>726281.55654403009</v>
      </c>
      <c r="J480" s="727">
        <f t="shared" si="42"/>
        <v>0</v>
      </c>
      <c r="K480" s="727"/>
      <c r="L480" s="732"/>
      <c r="M480" s="727">
        <f t="shared" si="43"/>
        <v>0</v>
      </c>
      <c r="N480" s="732"/>
      <c r="O480" s="727">
        <f t="shared" si="44"/>
        <v>0</v>
      </c>
      <c r="P480" s="727">
        <f t="shared" si="45"/>
        <v>0</v>
      </c>
      <c r="Q480" s="675"/>
    </row>
    <row r="481" spans="2:17">
      <c r="B481" s="332"/>
      <c r="C481" s="723">
        <f>IF(D440="","-",+C480+1)</f>
        <v>2050</v>
      </c>
      <c r="D481" s="674">
        <f t="shared" si="46"/>
        <v>3763576.3324094294</v>
      </c>
      <c r="E481" s="730">
        <f t="shared" si="47"/>
        <v>329656.32108695654</v>
      </c>
      <c r="F481" s="730">
        <f t="shared" si="40"/>
        <v>3433920.0113224727</v>
      </c>
      <c r="G481" s="674">
        <f t="shared" si="41"/>
        <v>3598748.1718659513</v>
      </c>
      <c r="H481" s="724">
        <f>+J441*G481+E481</f>
        <v>692998.32000217796</v>
      </c>
      <c r="I481" s="731">
        <f>+J442*G481+E481</f>
        <v>692998.32000217796</v>
      </c>
      <c r="J481" s="727">
        <f t="shared" si="42"/>
        <v>0</v>
      </c>
      <c r="K481" s="727"/>
      <c r="L481" s="732"/>
      <c r="M481" s="727">
        <f t="shared" si="43"/>
        <v>0</v>
      </c>
      <c r="N481" s="732"/>
      <c r="O481" s="727">
        <f t="shared" si="44"/>
        <v>0</v>
      </c>
      <c r="P481" s="727">
        <f t="shared" si="45"/>
        <v>0</v>
      </c>
      <c r="Q481" s="675"/>
    </row>
    <row r="482" spans="2:17">
      <c r="B482" s="332"/>
      <c r="C482" s="723">
        <f>IF(D440="","-",+C481+1)</f>
        <v>2051</v>
      </c>
      <c r="D482" s="674">
        <f t="shared" si="46"/>
        <v>3433920.0113224727</v>
      </c>
      <c r="E482" s="730">
        <f t="shared" si="47"/>
        <v>329656.32108695654</v>
      </c>
      <c r="F482" s="730">
        <f t="shared" si="40"/>
        <v>3104263.6902355161</v>
      </c>
      <c r="G482" s="674">
        <f t="shared" si="41"/>
        <v>3269091.8507789942</v>
      </c>
      <c r="H482" s="724">
        <f>+J441*G482+E482</f>
        <v>659715.08346032561</v>
      </c>
      <c r="I482" s="731">
        <f>+J442*G482+E482</f>
        <v>659715.08346032561</v>
      </c>
      <c r="J482" s="727">
        <f t="shared" si="42"/>
        <v>0</v>
      </c>
      <c r="K482" s="727"/>
      <c r="L482" s="732"/>
      <c r="M482" s="727">
        <f t="shared" si="43"/>
        <v>0</v>
      </c>
      <c r="N482" s="732"/>
      <c r="O482" s="727">
        <f t="shared" si="44"/>
        <v>0</v>
      </c>
      <c r="P482" s="727">
        <f t="shared" si="45"/>
        <v>0</v>
      </c>
      <c r="Q482" s="675"/>
    </row>
    <row r="483" spans="2:17">
      <c r="B483" s="332"/>
      <c r="C483" s="723">
        <f>IF(D440="","-",+C482+1)</f>
        <v>2052</v>
      </c>
      <c r="D483" s="674">
        <f t="shared" si="46"/>
        <v>3104263.6902355161</v>
      </c>
      <c r="E483" s="730">
        <f t="shared" si="47"/>
        <v>329656.32108695654</v>
      </c>
      <c r="F483" s="730">
        <f t="shared" si="40"/>
        <v>2774607.3691485594</v>
      </c>
      <c r="G483" s="674">
        <f t="shared" si="41"/>
        <v>2939435.529692038</v>
      </c>
      <c r="H483" s="724">
        <f>+J441*G483+E483</f>
        <v>626431.84691847349</v>
      </c>
      <c r="I483" s="731">
        <f>+J442*G483+E483</f>
        <v>626431.84691847349</v>
      </c>
      <c r="J483" s="727">
        <f t="shared" si="42"/>
        <v>0</v>
      </c>
      <c r="K483" s="727"/>
      <c r="L483" s="732"/>
      <c r="M483" s="727">
        <f t="shared" si="43"/>
        <v>0</v>
      </c>
      <c r="N483" s="732"/>
      <c r="O483" s="727">
        <f t="shared" si="44"/>
        <v>0</v>
      </c>
      <c r="P483" s="727">
        <f t="shared" si="45"/>
        <v>0</v>
      </c>
      <c r="Q483" s="675"/>
    </row>
    <row r="484" spans="2:17">
      <c r="B484" s="332"/>
      <c r="C484" s="723">
        <f>IF(D440="","-",+C483+1)</f>
        <v>2053</v>
      </c>
      <c r="D484" s="674">
        <f t="shared" si="46"/>
        <v>2774607.3691485594</v>
      </c>
      <c r="E484" s="730">
        <f t="shared" si="47"/>
        <v>329656.32108695654</v>
      </c>
      <c r="F484" s="730">
        <f t="shared" si="40"/>
        <v>2444951.0480616027</v>
      </c>
      <c r="G484" s="674">
        <f t="shared" si="41"/>
        <v>2609779.2086050808</v>
      </c>
      <c r="H484" s="724">
        <f>+J441*G484+E484</f>
        <v>593148.61037662113</v>
      </c>
      <c r="I484" s="731">
        <f>+J442*G484+E484</f>
        <v>593148.61037662113</v>
      </c>
      <c r="J484" s="727">
        <f t="shared" si="42"/>
        <v>0</v>
      </c>
      <c r="K484" s="727"/>
      <c r="L484" s="732"/>
      <c r="M484" s="727">
        <f t="shared" si="43"/>
        <v>0</v>
      </c>
      <c r="N484" s="732"/>
      <c r="O484" s="727">
        <f t="shared" si="44"/>
        <v>0</v>
      </c>
      <c r="P484" s="727">
        <f t="shared" si="45"/>
        <v>0</v>
      </c>
      <c r="Q484" s="675"/>
    </row>
    <row r="485" spans="2:17">
      <c r="B485" s="332"/>
      <c r="C485" s="723">
        <f>IF(D440="","-",+C484+1)</f>
        <v>2054</v>
      </c>
      <c r="D485" s="674">
        <f t="shared" si="46"/>
        <v>2444951.0480616027</v>
      </c>
      <c r="E485" s="730">
        <f t="shared" si="47"/>
        <v>329656.32108695654</v>
      </c>
      <c r="F485" s="730">
        <f t="shared" si="40"/>
        <v>2115294.7269746461</v>
      </c>
      <c r="G485" s="674">
        <f t="shared" si="41"/>
        <v>2280122.8875181247</v>
      </c>
      <c r="H485" s="724">
        <f>+J441*G485+E485</f>
        <v>559865.37383476889</v>
      </c>
      <c r="I485" s="731">
        <f>+J442*G485+E485</f>
        <v>559865.37383476889</v>
      </c>
      <c r="J485" s="727">
        <f t="shared" si="42"/>
        <v>0</v>
      </c>
      <c r="K485" s="727"/>
      <c r="L485" s="732"/>
      <c r="M485" s="727">
        <f t="shared" si="43"/>
        <v>0</v>
      </c>
      <c r="N485" s="732"/>
      <c r="O485" s="727">
        <f t="shared" si="44"/>
        <v>0</v>
      </c>
      <c r="P485" s="727">
        <f t="shared" si="45"/>
        <v>0</v>
      </c>
      <c r="Q485" s="675"/>
    </row>
    <row r="486" spans="2:17">
      <c r="B486" s="332"/>
      <c r="C486" s="723">
        <f>IF(D440="","-",+C485+1)</f>
        <v>2055</v>
      </c>
      <c r="D486" s="674">
        <f t="shared" si="46"/>
        <v>2115294.7269746461</v>
      </c>
      <c r="E486" s="730">
        <f t="shared" si="47"/>
        <v>329656.32108695654</v>
      </c>
      <c r="F486" s="730">
        <f t="shared" si="40"/>
        <v>1785638.4058876894</v>
      </c>
      <c r="G486" s="674">
        <f t="shared" si="41"/>
        <v>1950466.5664311678</v>
      </c>
      <c r="H486" s="724">
        <f>+J441*G486+E486</f>
        <v>526582.13729291654</v>
      </c>
      <c r="I486" s="731">
        <f>+J442*G486+E486</f>
        <v>526582.13729291654</v>
      </c>
      <c r="J486" s="727">
        <f t="shared" si="42"/>
        <v>0</v>
      </c>
      <c r="K486" s="727"/>
      <c r="L486" s="732"/>
      <c r="M486" s="727">
        <f t="shared" si="43"/>
        <v>0</v>
      </c>
      <c r="N486" s="732"/>
      <c r="O486" s="727">
        <f t="shared" si="44"/>
        <v>0</v>
      </c>
      <c r="P486" s="727">
        <f t="shared" si="45"/>
        <v>0</v>
      </c>
      <c r="Q486" s="675"/>
    </row>
    <row r="487" spans="2:17">
      <c r="B487" s="332"/>
      <c r="C487" s="723">
        <f>IF(D440="","-",+C486+1)</f>
        <v>2056</v>
      </c>
      <c r="D487" s="674">
        <f t="shared" si="46"/>
        <v>1785638.4058876894</v>
      </c>
      <c r="E487" s="730">
        <f t="shared" si="47"/>
        <v>329656.32108695654</v>
      </c>
      <c r="F487" s="730">
        <f t="shared" si="40"/>
        <v>1455982.0848007328</v>
      </c>
      <c r="G487" s="674">
        <f t="shared" si="41"/>
        <v>1620810.2453442111</v>
      </c>
      <c r="H487" s="724">
        <f>+J441*G487+E487</f>
        <v>493298.9007510643</v>
      </c>
      <c r="I487" s="731">
        <f>+J442*G487+E487</f>
        <v>493298.9007510643</v>
      </c>
      <c r="J487" s="727">
        <f t="shared" si="42"/>
        <v>0</v>
      </c>
      <c r="K487" s="727"/>
      <c r="L487" s="732"/>
      <c r="M487" s="727">
        <f t="shared" si="43"/>
        <v>0</v>
      </c>
      <c r="N487" s="732"/>
      <c r="O487" s="727">
        <f t="shared" si="44"/>
        <v>0</v>
      </c>
      <c r="P487" s="727">
        <f t="shared" si="45"/>
        <v>0</v>
      </c>
      <c r="Q487" s="675"/>
    </row>
    <row r="488" spans="2:17">
      <c r="B488" s="332"/>
      <c r="C488" s="723">
        <f>IF(D440="","-",+C487+1)</f>
        <v>2057</v>
      </c>
      <c r="D488" s="674">
        <f t="shared" si="46"/>
        <v>1455982.0848007328</v>
      </c>
      <c r="E488" s="730">
        <f t="shared" si="47"/>
        <v>329656.32108695654</v>
      </c>
      <c r="F488" s="730">
        <f t="shared" si="40"/>
        <v>1126325.7637137761</v>
      </c>
      <c r="G488" s="674">
        <f t="shared" si="41"/>
        <v>1291153.9242572545</v>
      </c>
      <c r="H488" s="724">
        <f>+J441*G488+E488</f>
        <v>460015.66420921206</v>
      </c>
      <c r="I488" s="731">
        <f>+J442*G488+E488</f>
        <v>460015.66420921206</v>
      </c>
      <c r="J488" s="727">
        <f t="shared" si="42"/>
        <v>0</v>
      </c>
      <c r="K488" s="727"/>
      <c r="L488" s="732"/>
      <c r="M488" s="727">
        <f t="shared" si="43"/>
        <v>0</v>
      </c>
      <c r="N488" s="732"/>
      <c r="O488" s="727">
        <f t="shared" si="44"/>
        <v>0</v>
      </c>
      <c r="P488" s="727">
        <f t="shared" si="45"/>
        <v>0</v>
      </c>
      <c r="Q488" s="675"/>
    </row>
    <row r="489" spans="2:17">
      <c r="B489" s="332"/>
      <c r="C489" s="723">
        <f>IF(D440="","-",+C488+1)</f>
        <v>2058</v>
      </c>
      <c r="D489" s="674">
        <f t="shared" si="46"/>
        <v>1126325.7637137761</v>
      </c>
      <c r="E489" s="730">
        <f t="shared" si="47"/>
        <v>329656.32108695654</v>
      </c>
      <c r="F489" s="730">
        <f t="shared" si="40"/>
        <v>796669.4426268196</v>
      </c>
      <c r="G489" s="674">
        <f t="shared" si="41"/>
        <v>961497.60317029781</v>
      </c>
      <c r="H489" s="724">
        <f>+J441*G489+E489</f>
        <v>426732.42766735976</v>
      </c>
      <c r="I489" s="731">
        <f>+J442*G489+E489</f>
        <v>426732.42766735976</v>
      </c>
      <c r="J489" s="727">
        <f t="shared" si="42"/>
        <v>0</v>
      </c>
      <c r="K489" s="727"/>
      <c r="L489" s="732"/>
      <c r="M489" s="727">
        <f t="shared" si="43"/>
        <v>0</v>
      </c>
      <c r="N489" s="732"/>
      <c r="O489" s="727">
        <f t="shared" si="44"/>
        <v>0</v>
      </c>
      <c r="P489" s="727">
        <f t="shared" si="45"/>
        <v>0</v>
      </c>
      <c r="Q489" s="675"/>
    </row>
    <row r="490" spans="2:17">
      <c r="B490" s="332"/>
      <c r="C490" s="723">
        <f>IF(D440="","-",+C489+1)</f>
        <v>2059</v>
      </c>
      <c r="D490" s="674">
        <f t="shared" si="46"/>
        <v>796669.4426268196</v>
      </c>
      <c r="E490" s="730">
        <f t="shared" si="47"/>
        <v>329656.32108695654</v>
      </c>
      <c r="F490" s="730">
        <f t="shared" si="40"/>
        <v>467013.12153986306</v>
      </c>
      <c r="G490" s="674">
        <f t="shared" si="41"/>
        <v>631841.28208334139</v>
      </c>
      <c r="H490" s="724">
        <f>+J441*G490+E490</f>
        <v>393449.19112550752</v>
      </c>
      <c r="I490" s="731">
        <f>+J442*G490+E490</f>
        <v>393449.19112550752</v>
      </c>
      <c r="J490" s="727">
        <f t="shared" si="42"/>
        <v>0</v>
      </c>
      <c r="K490" s="727"/>
      <c r="L490" s="732"/>
      <c r="M490" s="727">
        <f t="shared" si="43"/>
        <v>0</v>
      </c>
      <c r="N490" s="732"/>
      <c r="O490" s="727">
        <f t="shared" si="44"/>
        <v>0</v>
      </c>
      <c r="P490" s="727">
        <f t="shared" si="45"/>
        <v>0</v>
      </c>
      <c r="Q490" s="675"/>
    </row>
    <row r="491" spans="2:17">
      <c r="B491" s="332"/>
      <c r="C491" s="723">
        <f>IF(D440="","-",+C490+1)</f>
        <v>2060</v>
      </c>
      <c r="D491" s="674">
        <f t="shared" si="46"/>
        <v>467013.12153986306</v>
      </c>
      <c r="E491" s="730">
        <f t="shared" si="47"/>
        <v>329656.32108695654</v>
      </c>
      <c r="F491" s="730">
        <f t="shared" si="40"/>
        <v>137356.80045290652</v>
      </c>
      <c r="G491" s="674">
        <f t="shared" si="41"/>
        <v>302184.96099638479</v>
      </c>
      <c r="H491" s="724">
        <f>+J441*G491+E491</f>
        <v>360165.95458365523</v>
      </c>
      <c r="I491" s="731">
        <f>+J442*G491+E491</f>
        <v>360165.95458365523</v>
      </c>
      <c r="J491" s="727">
        <f t="shared" si="42"/>
        <v>0</v>
      </c>
      <c r="K491" s="727"/>
      <c r="L491" s="732"/>
      <c r="M491" s="727">
        <f t="shared" si="43"/>
        <v>0</v>
      </c>
      <c r="N491" s="732"/>
      <c r="O491" s="727">
        <f t="shared" si="44"/>
        <v>0</v>
      </c>
      <c r="P491" s="727">
        <f t="shared" si="45"/>
        <v>0</v>
      </c>
      <c r="Q491" s="675"/>
    </row>
    <row r="492" spans="2:17">
      <c r="B492" s="332"/>
      <c r="C492" s="723">
        <f>IF(D440="","-",+C491+1)</f>
        <v>2061</v>
      </c>
      <c r="D492" s="674">
        <f t="shared" si="46"/>
        <v>137356.80045290652</v>
      </c>
      <c r="E492" s="730">
        <f t="shared" si="47"/>
        <v>137356.80045290652</v>
      </c>
      <c r="F492" s="730">
        <f t="shared" si="40"/>
        <v>0</v>
      </c>
      <c r="G492" s="674">
        <f t="shared" si="41"/>
        <v>68678.400226453261</v>
      </c>
      <c r="H492" s="724">
        <f>+J441*G492+E492</f>
        <v>144290.80806579281</v>
      </c>
      <c r="I492" s="731">
        <f>+J442*G492+E492</f>
        <v>144290.80806579281</v>
      </c>
      <c r="J492" s="727">
        <f t="shared" si="42"/>
        <v>0</v>
      </c>
      <c r="K492" s="727"/>
      <c r="L492" s="732"/>
      <c r="M492" s="727">
        <f t="shared" si="43"/>
        <v>0</v>
      </c>
      <c r="N492" s="732"/>
      <c r="O492" s="727">
        <f t="shared" si="44"/>
        <v>0</v>
      </c>
      <c r="P492" s="727">
        <f t="shared" si="45"/>
        <v>0</v>
      </c>
      <c r="Q492" s="675"/>
    </row>
    <row r="493" spans="2:17">
      <c r="B493" s="332"/>
      <c r="C493" s="723">
        <f>IF(D440="","-",+C492+1)</f>
        <v>2062</v>
      </c>
      <c r="D493" s="674">
        <f t="shared" si="46"/>
        <v>0</v>
      </c>
      <c r="E493" s="730">
        <f t="shared" si="47"/>
        <v>0</v>
      </c>
      <c r="F493" s="730">
        <f t="shared" si="40"/>
        <v>0</v>
      </c>
      <c r="G493" s="674">
        <f t="shared" si="41"/>
        <v>0</v>
      </c>
      <c r="H493" s="724">
        <f>+J441*G493+E493</f>
        <v>0</v>
      </c>
      <c r="I493" s="731">
        <f>+J442*G493+E493</f>
        <v>0</v>
      </c>
      <c r="J493" s="727">
        <f t="shared" si="42"/>
        <v>0</v>
      </c>
      <c r="K493" s="727"/>
      <c r="L493" s="732"/>
      <c r="M493" s="727">
        <f t="shared" si="43"/>
        <v>0</v>
      </c>
      <c r="N493" s="732"/>
      <c r="O493" s="727">
        <f t="shared" si="44"/>
        <v>0</v>
      </c>
      <c r="P493" s="727">
        <f t="shared" si="45"/>
        <v>0</v>
      </c>
      <c r="Q493" s="675"/>
    </row>
    <row r="494" spans="2:17">
      <c r="B494" s="332"/>
      <c r="C494" s="723">
        <f>IF(D440="","-",+C493+1)</f>
        <v>2063</v>
      </c>
      <c r="D494" s="674">
        <f t="shared" si="46"/>
        <v>0</v>
      </c>
      <c r="E494" s="730">
        <f t="shared" si="47"/>
        <v>0</v>
      </c>
      <c r="F494" s="730">
        <f t="shared" si="40"/>
        <v>0</v>
      </c>
      <c r="G494" s="674">
        <f t="shared" si="41"/>
        <v>0</v>
      </c>
      <c r="H494" s="724">
        <f>+J441*G494+E494</f>
        <v>0</v>
      </c>
      <c r="I494" s="731">
        <f>+J442*G494+E494</f>
        <v>0</v>
      </c>
      <c r="J494" s="727">
        <f t="shared" si="42"/>
        <v>0</v>
      </c>
      <c r="K494" s="727"/>
      <c r="L494" s="732"/>
      <c r="M494" s="727">
        <f t="shared" si="43"/>
        <v>0</v>
      </c>
      <c r="N494" s="732"/>
      <c r="O494" s="727">
        <f t="shared" si="44"/>
        <v>0</v>
      </c>
      <c r="P494" s="727">
        <f t="shared" si="45"/>
        <v>0</v>
      </c>
      <c r="Q494" s="675"/>
    </row>
    <row r="495" spans="2:17">
      <c r="B495" s="332"/>
      <c r="C495" s="723">
        <f>IF(D440="","-",+C494+1)</f>
        <v>2064</v>
      </c>
      <c r="D495" s="674">
        <f t="shared" si="46"/>
        <v>0</v>
      </c>
      <c r="E495" s="730">
        <f t="shared" si="47"/>
        <v>0</v>
      </c>
      <c r="F495" s="730">
        <f t="shared" si="40"/>
        <v>0</v>
      </c>
      <c r="G495" s="674">
        <f t="shared" si="41"/>
        <v>0</v>
      </c>
      <c r="H495" s="724">
        <f>+J441*G495+E495</f>
        <v>0</v>
      </c>
      <c r="I495" s="731">
        <f>+J442*G495+E495</f>
        <v>0</v>
      </c>
      <c r="J495" s="727">
        <f t="shared" si="42"/>
        <v>0</v>
      </c>
      <c r="K495" s="727"/>
      <c r="L495" s="732"/>
      <c r="M495" s="727">
        <f t="shared" si="43"/>
        <v>0</v>
      </c>
      <c r="N495" s="732"/>
      <c r="O495" s="727">
        <f t="shared" si="44"/>
        <v>0</v>
      </c>
      <c r="P495" s="727">
        <f t="shared" si="45"/>
        <v>0</v>
      </c>
      <c r="Q495" s="675"/>
    </row>
    <row r="496" spans="2:17">
      <c r="B496" s="332"/>
      <c r="C496" s="723">
        <f>IF(D440="","-",+C495+1)</f>
        <v>2065</v>
      </c>
      <c r="D496" s="674">
        <f t="shared" si="46"/>
        <v>0</v>
      </c>
      <c r="E496" s="730">
        <f t="shared" si="47"/>
        <v>0</v>
      </c>
      <c r="F496" s="730">
        <f t="shared" si="40"/>
        <v>0</v>
      </c>
      <c r="G496" s="674">
        <f t="shared" si="41"/>
        <v>0</v>
      </c>
      <c r="H496" s="724">
        <f>+J441*G496+E496</f>
        <v>0</v>
      </c>
      <c r="I496" s="731">
        <f>+J442*G496+E496</f>
        <v>0</v>
      </c>
      <c r="J496" s="727">
        <f t="shared" si="42"/>
        <v>0</v>
      </c>
      <c r="K496" s="727"/>
      <c r="L496" s="732"/>
      <c r="M496" s="727">
        <f t="shared" si="43"/>
        <v>0</v>
      </c>
      <c r="N496" s="732"/>
      <c r="O496" s="727">
        <f t="shared" si="44"/>
        <v>0</v>
      </c>
      <c r="P496" s="727">
        <f t="shared" si="45"/>
        <v>0</v>
      </c>
      <c r="Q496" s="675"/>
    </row>
    <row r="497" spans="2:17">
      <c r="B497" s="332"/>
      <c r="C497" s="723">
        <f>IF(D440="","-",+C496+1)</f>
        <v>2066</v>
      </c>
      <c r="D497" s="674">
        <f t="shared" si="46"/>
        <v>0</v>
      </c>
      <c r="E497" s="730">
        <f t="shared" si="47"/>
        <v>0</v>
      </c>
      <c r="F497" s="730">
        <f t="shared" si="40"/>
        <v>0</v>
      </c>
      <c r="G497" s="674">
        <f t="shared" si="41"/>
        <v>0</v>
      </c>
      <c r="H497" s="724">
        <f>+J441*G497+E497</f>
        <v>0</v>
      </c>
      <c r="I497" s="731">
        <f>+J442*G497+E497</f>
        <v>0</v>
      </c>
      <c r="J497" s="727">
        <f t="shared" si="42"/>
        <v>0</v>
      </c>
      <c r="K497" s="727"/>
      <c r="L497" s="732"/>
      <c r="M497" s="727">
        <f t="shared" si="43"/>
        <v>0</v>
      </c>
      <c r="N497" s="732"/>
      <c r="O497" s="727">
        <f t="shared" si="44"/>
        <v>0</v>
      </c>
      <c r="P497" s="727">
        <f t="shared" si="45"/>
        <v>0</v>
      </c>
      <c r="Q497" s="675"/>
    </row>
    <row r="498" spans="2:17">
      <c r="B498" s="332"/>
      <c r="C498" s="723">
        <f>IF(D440="","-",+C497+1)</f>
        <v>2067</v>
      </c>
      <c r="D498" s="674">
        <f t="shared" si="46"/>
        <v>0</v>
      </c>
      <c r="E498" s="730">
        <f t="shared" si="47"/>
        <v>0</v>
      </c>
      <c r="F498" s="730">
        <f t="shared" si="40"/>
        <v>0</v>
      </c>
      <c r="G498" s="674">
        <f t="shared" si="41"/>
        <v>0</v>
      </c>
      <c r="H498" s="724">
        <f>+J441*G498+E498</f>
        <v>0</v>
      </c>
      <c r="I498" s="731">
        <f>+J442*G498+E498</f>
        <v>0</v>
      </c>
      <c r="J498" s="727">
        <f t="shared" si="42"/>
        <v>0</v>
      </c>
      <c r="K498" s="727"/>
      <c r="L498" s="732"/>
      <c r="M498" s="727">
        <f t="shared" si="43"/>
        <v>0</v>
      </c>
      <c r="N498" s="732"/>
      <c r="O498" s="727">
        <f t="shared" si="44"/>
        <v>0</v>
      </c>
      <c r="P498" s="727">
        <f t="shared" si="45"/>
        <v>0</v>
      </c>
      <c r="Q498" s="675"/>
    </row>
    <row r="499" spans="2:17">
      <c r="B499" s="332"/>
      <c r="C499" s="723">
        <f>IF(D440="","-",+C498+1)</f>
        <v>2068</v>
      </c>
      <c r="D499" s="674">
        <f t="shared" si="46"/>
        <v>0</v>
      </c>
      <c r="E499" s="730">
        <f t="shared" si="47"/>
        <v>0</v>
      </c>
      <c r="F499" s="730">
        <f t="shared" si="40"/>
        <v>0</v>
      </c>
      <c r="G499" s="674">
        <f t="shared" si="41"/>
        <v>0</v>
      </c>
      <c r="H499" s="724">
        <f>+J441*G499+E499</f>
        <v>0</v>
      </c>
      <c r="I499" s="731">
        <f>+J442*G499+E499</f>
        <v>0</v>
      </c>
      <c r="J499" s="727">
        <f t="shared" si="42"/>
        <v>0</v>
      </c>
      <c r="K499" s="727"/>
      <c r="L499" s="732"/>
      <c r="M499" s="727">
        <f t="shared" si="43"/>
        <v>0</v>
      </c>
      <c r="N499" s="732"/>
      <c r="O499" s="727">
        <f t="shared" si="44"/>
        <v>0</v>
      </c>
      <c r="P499" s="727">
        <f t="shared" si="45"/>
        <v>0</v>
      </c>
      <c r="Q499" s="675"/>
    </row>
    <row r="500" spans="2:17">
      <c r="B500" s="332"/>
      <c r="C500" s="723">
        <f>IF(D440="","-",+C499+1)</f>
        <v>2069</v>
      </c>
      <c r="D500" s="674">
        <f t="shared" si="46"/>
        <v>0</v>
      </c>
      <c r="E500" s="730">
        <f t="shared" si="47"/>
        <v>0</v>
      </c>
      <c r="F500" s="730">
        <f t="shared" si="40"/>
        <v>0</v>
      </c>
      <c r="G500" s="674">
        <f t="shared" si="41"/>
        <v>0</v>
      </c>
      <c r="H500" s="724">
        <f>+J441*G500+E500</f>
        <v>0</v>
      </c>
      <c r="I500" s="731">
        <f>+J442*G500+E500</f>
        <v>0</v>
      </c>
      <c r="J500" s="727">
        <f t="shared" si="42"/>
        <v>0</v>
      </c>
      <c r="K500" s="727"/>
      <c r="L500" s="732"/>
      <c r="M500" s="727">
        <f t="shared" si="43"/>
        <v>0</v>
      </c>
      <c r="N500" s="732"/>
      <c r="O500" s="727">
        <f t="shared" si="44"/>
        <v>0</v>
      </c>
      <c r="P500" s="727">
        <f t="shared" si="45"/>
        <v>0</v>
      </c>
      <c r="Q500" s="675"/>
    </row>
    <row r="501" spans="2:17">
      <c r="B501" s="332"/>
      <c r="C501" s="723">
        <f>IF(D440="","-",+C500+1)</f>
        <v>2070</v>
      </c>
      <c r="D501" s="674">
        <f t="shared" si="46"/>
        <v>0</v>
      </c>
      <c r="E501" s="730">
        <f t="shared" si="47"/>
        <v>0</v>
      </c>
      <c r="F501" s="730">
        <f t="shared" si="40"/>
        <v>0</v>
      </c>
      <c r="G501" s="674">
        <f t="shared" si="41"/>
        <v>0</v>
      </c>
      <c r="H501" s="724">
        <f>+J441*G501+E501</f>
        <v>0</v>
      </c>
      <c r="I501" s="731">
        <f>+J442*G501+E501</f>
        <v>0</v>
      </c>
      <c r="J501" s="727">
        <f t="shared" si="42"/>
        <v>0</v>
      </c>
      <c r="K501" s="727"/>
      <c r="L501" s="732"/>
      <c r="M501" s="727">
        <f t="shared" si="43"/>
        <v>0</v>
      </c>
      <c r="N501" s="732"/>
      <c r="O501" s="727">
        <f t="shared" si="44"/>
        <v>0</v>
      </c>
      <c r="P501" s="727">
        <f t="shared" si="45"/>
        <v>0</v>
      </c>
      <c r="Q501" s="675"/>
    </row>
    <row r="502" spans="2:17">
      <c r="B502" s="332"/>
      <c r="C502" s="723">
        <f>IF(D440="","-",+C501+1)</f>
        <v>2071</v>
      </c>
      <c r="D502" s="674">
        <f t="shared" si="46"/>
        <v>0</v>
      </c>
      <c r="E502" s="730">
        <f t="shared" si="47"/>
        <v>0</v>
      </c>
      <c r="F502" s="730">
        <f t="shared" si="40"/>
        <v>0</v>
      </c>
      <c r="G502" s="674">
        <f t="shared" si="41"/>
        <v>0</v>
      </c>
      <c r="H502" s="724">
        <f>+J441*G502+E502</f>
        <v>0</v>
      </c>
      <c r="I502" s="731">
        <f>+J442*G502+E502</f>
        <v>0</v>
      </c>
      <c r="J502" s="727">
        <f t="shared" si="42"/>
        <v>0</v>
      </c>
      <c r="K502" s="727"/>
      <c r="L502" s="732"/>
      <c r="M502" s="727">
        <f t="shared" si="43"/>
        <v>0</v>
      </c>
      <c r="N502" s="732"/>
      <c r="O502" s="727">
        <f t="shared" si="44"/>
        <v>0</v>
      </c>
      <c r="P502" s="727">
        <f t="shared" si="45"/>
        <v>0</v>
      </c>
      <c r="Q502" s="675"/>
    </row>
    <row r="503" spans="2:17">
      <c r="B503" s="332"/>
      <c r="C503" s="723">
        <f>IF(D440="","-",+C502+1)</f>
        <v>2072</v>
      </c>
      <c r="D503" s="674">
        <f t="shared" si="46"/>
        <v>0</v>
      </c>
      <c r="E503" s="730">
        <f t="shared" si="47"/>
        <v>0</v>
      </c>
      <c r="F503" s="730">
        <f t="shared" si="40"/>
        <v>0</v>
      </c>
      <c r="G503" s="674">
        <f t="shared" si="41"/>
        <v>0</v>
      </c>
      <c r="H503" s="724">
        <f>+J441*G503+E503</f>
        <v>0</v>
      </c>
      <c r="I503" s="731">
        <f>+J442*G503+E503</f>
        <v>0</v>
      </c>
      <c r="J503" s="727">
        <f t="shared" si="42"/>
        <v>0</v>
      </c>
      <c r="K503" s="727"/>
      <c r="L503" s="732"/>
      <c r="M503" s="727">
        <f t="shared" si="43"/>
        <v>0</v>
      </c>
      <c r="N503" s="732"/>
      <c r="O503" s="727">
        <f t="shared" si="44"/>
        <v>0</v>
      </c>
      <c r="P503" s="727">
        <f t="shared" si="45"/>
        <v>0</v>
      </c>
      <c r="Q503" s="675"/>
    </row>
    <row r="504" spans="2:17">
      <c r="B504" s="332"/>
      <c r="C504" s="723">
        <f>IF(D440="","-",+C503+1)</f>
        <v>2073</v>
      </c>
      <c r="D504" s="674">
        <f t="shared" si="46"/>
        <v>0</v>
      </c>
      <c r="E504" s="730">
        <f t="shared" si="47"/>
        <v>0</v>
      </c>
      <c r="F504" s="730">
        <f t="shared" si="40"/>
        <v>0</v>
      </c>
      <c r="G504" s="674">
        <f t="shared" si="41"/>
        <v>0</v>
      </c>
      <c r="H504" s="724">
        <f>+J441*G504+E504</f>
        <v>0</v>
      </c>
      <c r="I504" s="731">
        <f>+J442*G504+E504</f>
        <v>0</v>
      </c>
      <c r="J504" s="727">
        <f t="shared" si="42"/>
        <v>0</v>
      </c>
      <c r="K504" s="727"/>
      <c r="L504" s="732"/>
      <c r="M504" s="727">
        <f t="shared" si="43"/>
        <v>0</v>
      </c>
      <c r="N504" s="732"/>
      <c r="O504" s="727">
        <f t="shared" si="44"/>
        <v>0</v>
      </c>
      <c r="P504" s="727">
        <f t="shared" si="45"/>
        <v>0</v>
      </c>
      <c r="Q504" s="675"/>
    </row>
    <row r="505" spans="2:17" ht="13.5" thickBot="1">
      <c r="B505" s="332"/>
      <c r="C505" s="735">
        <f>IF(D440="","-",+C504+1)</f>
        <v>2074</v>
      </c>
      <c r="D505" s="736">
        <f t="shared" si="46"/>
        <v>0</v>
      </c>
      <c r="E505" s="737">
        <f t="shared" si="47"/>
        <v>0</v>
      </c>
      <c r="F505" s="737">
        <f t="shared" si="40"/>
        <v>0</v>
      </c>
      <c r="G505" s="736">
        <f t="shared" si="41"/>
        <v>0</v>
      </c>
      <c r="H505" s="738">
        <f>+J441*G505+E505</f>
        <v>0</v>
      </c>
      <c r="I505" s="738">
        <f>+J442*G505+E505</f>
        <v>0</v>
      </c>
      <c r="J505" s="739">
        <f t="shared" si="42"/>
        <v>0</v>
      </c>
      <c r="K505" s="727"/>
      <c r="L505" s="740"/>
      <c r="M505" s="739">
        <f t="shared" si="43"/>
        <v>0</v>
      </c>
      <c r="N505" s="740"/>
      <c r="O505" s="739">
        <f t="shared" si="44"/>
        <v>0</v>
      </c>
      <c r="P505" s="739">
        <f t="shared" si="45"/>
        <v>0</v>
      </c>
      <c r="Q505" s="675"/>
    </row>
    <row r="506" spans="2:17">
      <c r="B506" s="332"/>
      <c r="C506" s="674" t="s">
        <v>288</v>
      </c>
      <c r="D506" s="670"/>
      <c r="E506" s="670">
        <f>SUM(E446:E505)</f>
        <v>15164190.77</v>
      </c>
      <c r="F506" s="670"/>
      <c r="G506" s="670"/>
      <c r="H506" s="670">
        <f>SUM(H446:H505)</f>
        <v>51015783.731665187</v>
      </c>
      <c r="I506" s="670">
        <f>SUM(I446:I505)</f>
        <v>51015783.731665187</v>
      </c>
      <c r="J506" s="670">
        <f>SUM(J446:J505)</f>
        <v>0</v>
      </c>
      <c r="K506" s="670"/>
      <c r="L506" s="670"/>
      <c r="M506" s="670"/>
      <c r="N506" s="670"/>
      <c r="O506" s="670"/>
      <c r="Q506" s="670"/>
    </row>
    <row r="507" spans="2:17">
      <c r="B507" s="332"/>
      <c r="D507" s="564"/>
      <c r="E507" s="541"/>
      <c r="F507" s="541"/>
      <c r="G507" s="541"/>
      <c r="H507" s="541"/>
      <c r="I507" s="647"/>
      <c r="J507" s="647"/>
      <c r="K507" s="670"/>
      <c r="L507" s="647"/>
      <c r="M507" s="647"/>
      <c r="N507" s="647"/>
      <c r="O507" s="647"/>
      <c r="Q507" s="670"/>
    </row>
    <row r="508" spans="2:17">
      <c r="B508" s="332"/>
      <c r="C508" s="541" t="s">
        <v>601</v>
      </c>
      <c r="D508" s="564"/>
      <c r="E508" s="541"/>
      <c r="F508" s="541"/>
      <c r="G508" s="541"/>
      <c r="H508" s="541"/>
      <c r="I508" s="647"/>
      <c r="J508" s="647"/>
      <c r="K508" s="670"/>
      <c r="L508" s="647"/>
      <c r="M508" s="647"/>
      <c r="N508" s="647"/>
      <c r="O508" s="647"/>
      <c r="Q508" s="670"/>
    </row>
    <row r="509" spans="2:17">
      <c r="B509" s="332"/>
      <c r="D509" s="564"/>
      <c r="E509" s="541"/>
      <c r="F509" s="541"/>
      <c r="G509" s="541"/>
      <c r="H509" s="541"/>
      <c r="I509" s="647"/>
      <c r="J509" s="647"/>
      <c r="K509" s="670"/>
      <c r="L509" s="647"/>
      <c r="M509" s="647"/>
      <c r="N509" s="647"/>
      <c r="O509" s="647"/>
      <c r="Q509" s="670"/>
    </row>
    <row r="510" spans="2:17">
      <c r="B510" s="332"/>
      <c r="C510" s="577" t="s">
        <v>602</v>
      </c>
      <c r="D510" s="674"/>
      <c r="E510" s="674"/>
      <c r="F510" s="674"/>
      <c r="G510" s="674"/>
      <c r="H510" s="670"/>
      <c r="I510" s="670"/>
      <c r="J510" s="675"/>
      <c r="K510" s="675"/>
      <c r="L510" s="675"/>
      <c r="M510" s="675"/>
      <c r="N510" s="675"/>
      <c r="O510" s="675"/>
      <c r="Q510" s="675"/>
    </row>
    <row r="511" spans="2:17">
      <c r="B511" s="332"/>
      <c r="C511" s="577" t="s">
        <v>476</v>
      </c>
      <c r="D511" s="674"/>
      <c r="E511" s="674"/>
      <c r="F511" s="674"/>
      <c r="G511" s="674"/>
      <c r="H511" s="670"/>
      <c r="I511" s="670"/>
      <c r="J511" s="675"/>
      <c r="K511" s="675"/>
      <c r="L511" s="675"/>
      <c r="M511" s="675"/>
      <c r="N511" s="675"/>
      <c r="O511" s="675"/>
      <c r="Q511" s="675"/>
    </row>
    <row r="512" spans="2:17">
      <c r="B512" s="332"/>
      <c r="C512" s="577" t="s">
        <v>289</v>
      </c>
      <c r="D512" s="674"/>
      <c r="E512" s="674"/>
      <c r="F512" s="674"/>
      <c r="G512" s="674"/>
      <c r="H512" s="670"/>
      <c r="I512" s="670"/>
      <c r="J512" s="675"/>
      <c r="K512" s="675"/>
      <c r="L512" s="675"/>
      <c r="M512" s="675"/>
      <c r="N512" s="675"/>
      <c r="O512" s="675"/>
      <c r="Q512" s="675"/>
    </row>
    <row r="513" spans="1:17" ht="20.25">
      <c r="A513" s="676" t="s">
        <v>770</v>
      </c>
      <c r="B513" s="541"/>
      <c r="C513" s="656"/>
      <c r="D513" s="564"/>
      <c r="E513" s="541"/>
      <c r="F513" s="646"/>
      <c r="G513" s="646"/>
      <c r="H513" s="541"/>
      <c r="I513" s="647"/>
      <c r="L513" s="677"/>
      <c r="M513" s="677"/>
      <c r="N513" s="677"/>
      <c r="O513" s="592" t="str">
        <f>"Page "&amp;SUM(Q$3:Q513)&amp;" of "</f>
        <v xml:space="preserve">Page 7 of </v>
      </c>
      <c r="P513" s="593">
        <f>COUNT(Q$8:Q$58123)</f>
        <v>16</v>
      </c>
      <c r="Q513" s="761">
        <v>1</v>
      </c>
    </row>
    <row r="514" spans="1:17">
      <c r="B514" s="541"/>
      <c r="C514" s="541"/>
      <c r="D514" s="564"/>
      <c r="E514" s="541"/>
      <c r="F514" s="541"/>
      <c r="G514" s="541"/>
      <c r="H514" s="541"/>
      <c r="I514" s="647"/>
      <c r="J514" s="541"/>
      <c r="K514" s="589"/>
      <c r="Q514" s="589"/>
    </row>
    <row r="515" spans="1:17" ht="18">
      <c r="B515" s="596" t="s">
        <v>174</v>
      </c>
      <c r="C515" s="678" t="s">
        <v>290</v>
      </c>
      <c r="D515" s="564"/>
      <c r="E515" s="541"/>
      <c r="F515" s="541"/>
      <c r="G515" s="541"/>
      <c r="H515" s="541"/>
      <c r="I515" s="647"/>
      <c r="J515" s="647"/>
      <c r="K515" s="670"/>
      <c r="L515" s="647"/>
      <c r="M515" s="647"/>
      <c r="N515" s="647"/>
      <c r="O515" s="647"/>
      <c r="Q515" s="670"/>
    </row>
    <row r="516" spans="1:17" ht="18.75">
      <c r="B516" s="596"/>
      <c r="C516" s="595"/>
      <c r="D516" s="564"/>
      <c r="E516" s="541"/>
      <c r="F516" s="541"/>
      <c r="G516" s="541"/>
      <c r="H516" s="541"/>
      <c r="I516" s="647"/>
      <c r="J516" s="647"/>
      <c r="K516" s="670"/>
      <c r="L516" s="647"/>
      <c r="M516" s="647"/>
      <c r="N516" s="647"/>
      <c r="O516" s="647"/>
      <c r="Q516" s="670"/>
    </row>
    <row r="517" spans="1:17" ht="18.75">
      <c r="B517" s="596"/>
      <c r="C517" s="595" t="s">
        <v>291</v>
      </c>
      <c r="D517" s="564"/>
      <c r="E517" s="541"/>
      <c r="F517" s="541"/>
      <c r="G517" s="541"/>
      <c r="H517" s="541"/>
      <c r="I517" s="647"/>
      <c r="J517" s="647"/>
      <c r="K517" s="670"/>
      <c r="L517" s="647"/>
      <c r="M517" s="647"/>
      <c r="N517" s="647"/>
      <c r="O517" s="647"/>
      <c r="Q517" s="670"/>
    </row>
    <row r="518" spans="1:17" ht="15.75" thickBot="1">
      <c r="B518" s="332"/>
      <c r="C518" s="398"/>
      <c r="D518" s="564"/>
      <c r="E518" s="541"/>
      <c r="F518" s="541"/>
      <c r="G518" s="541"/>
      <c r="H518" s="541"/>
      <c r="I518" s="647"/>
      <c r="J518" s="647"/>
      <c r="K518" s="670"/>
      <c r="L518" s="647"/>
      <c r="M518" s="647"/>
      <c r="N518" s="647"/>
      <c r="O518" s="647"/>
      <c r="Q518" s="670"/>
    </row>
    <row r="519" spans="1:17" ht="15.75">
      <c r="B519" s="332"/>
      <c r="C519" s="597" t="s">
        <v>292</v>
      </c>
      <c r="D519" s="564"/>
      <c r="E519" s="541"/>
      <c r="F519" s="541"/>
      <c r="G519" s="541"/>
      <c r="H519" s="870"/>
      <c r="I519" s="541" t="s">
        <v>271</v>
      </c>
      <c r="J519" s="541"/>
      <c r="K519" s="589"/>
      <c r="L519" s="762">
        <f>+J525</f>
        <v>2020</v>
      </c>
      <c r="M519" s="744" t="s">
        <v>254</v>
      </c>
      <c r="N519" s="744" t="s">
        <v>255</v>
      </c>
      <c r="O519" s="745" t="s">
        <v>256</v>
      </c>
      <c r="Q519" s="589"/>
    </row>
    <row r="520" spans="1:17" ht="15.75">
      <c r="B520" s="332"/>
      <c r="C520" s="597"/>
      <c r="D520" s="564"/>
      <c r="E520" s="541"/>
      <c r="F520" s="541"/>
      <c r="H520" s="541"/>
      <c r="I520" s="682"/>
      <c r="J520" s="682"/>
      <c r="K520" s="683"/>
      <c r="L520" s="763" t="s">
        <v>455</v>
      </c>
      <c r="M520" s="764">
        <f>VLOOKUP(J525,C532:P591,10)</f>
        <v>387035.1088908845</v>
      </c>
      <c r="N520" s="764">
        <f>VLOOKUP(J525,C532:P591,12)</f>
        <v>387035.1088908845</v>
      </c>
      <c r="O520" s="765">
        <f>+N520-M520</f>
        <v>0</v>
      </c>
      <c r="Q520" s="683"/>
    </row>
    <row r="521" spans="1:17">
      <c r="B521" s="332"/>
      <c r="C521" s="685" t="s">
        <v>293</v>
      </c>
      <c r="D521" s="1544" t="s">
        <v>979</v>
      </c>
      <c r="E521" s="1544"/>
      <c r="F521" s="1544"/>
      <c r="G521" s="1544"/>
      <c r="H521" s="1544"/>
      <c r="I521" s="647"/>
      <c r="J521" s="647"/>
      <c r="K521" s="670"/>
      <c r="L521" s="763" t="s">
        <v>456</v>
      </c>
      <c r="M521" s="766">
        <f>VLOOKUP(J525,C532:P591,6)</f>
        <v>393821.08007458638</v>
      </c>
      <c r="N521" s="766">
        <f>VLOOKUP(J525,C532:P591,7)</f>
        <v>393821.08007458638</v>
      </c>
      <c r="O521" s="767">
        <f>+N521-M521</f>
        <v>0</v>
      </c>
      <c r="Q521" s="670"/>
    </row>
    <row r="522" spans="1:17" ht="13.5" thickBot="1">
      <c r="B522" s="332"/>
      <c r="C522" s="687"/>
      <c r="D522" s="688"/>
      <c r="E522" s="672"/>
      <c r="F522" s="672"/>
      <c r="G522" s="672"/>
      <c r="H522" s="689"/>
      <c r="I522" s="647"/>
      <c r="J522" s="647"/>
      <c r="K522" s="670"/>
      <c r="L522" s="708" t="s">
        <v>457</v>
      </c>
      <c r="M522" s="768">
        <f>+M521-M520</f>
        <v>6785.971183701884</v>
      </c>
      <c r="N522" s="768">
        <f>+N521-N520</f>
        <v>6785.971183701884</v>
      </c>
      <c r="O522" s="769">
        <f>+O521-O520</f>
        <v>0</v>
      </c>
      <c r="Q522" s="670"/>
    </row>
    <row r="523" spans="1:17" ht="13.5" thickBot="1">
      <c r="B523" s="332"/>
      <c r="C523" s="690"/>
      <c r="D523" s="691"/>
      <c r="E523" s="689"/>
      <c r="F523" s="689"/>
      <c r="G523" s="689"/>
      <c r="H523" s="689"/>
      <c r="I523" s="689"/>
      <c r="J523" s="689"/>
      <c r="K523" s="692"/>
      <c r="L523" s="689"/>
      <c r="M523" s="689"/>
      <c r="N523" s="689"/>
      <c r="O523" s="689"/>
      <c r="P523" s="577"/>
      <c r="Q523" s="692"/>
    </row>
    <row r="524" spans="1:17" ht="13.5" thickBot="1">
      <c r="B524" s="332"/>
      <c r="C524" s="694" t="s">
        <v>294</v>
      </c>
      <c r="D524" s="695"/>
      <c r="E524" s="695"/>
      <c r="F524" s="695"/>
      <c r="G524" s="695"/>
      <c r="H524" s="695"/>
      <c r="I524" s="695"/>
      <c r="J524" s="695"/>
      <c r="K524" s="697"/>
      <c r="P524" s="698"/>
      <c r="Q524" s="697"/>
    </row>
    <row r="525" spans="1:17" ht="15">
      <c r="A525" s="693"/>
      <c r="B525" s="332"/>
      <c r="C525" s="700" t="s">
        <v>272</v>
      </c>
      <c r="D525" s="1256">
        <v>3429372.04</v>
      </c>
      <c r="E525" s="656" t="s">
        <v>273</v>
      </c>
      <c r="H525" s="701"/>
      <c r="I525" s="701"/>
      <c r="J525" s="702">
        <f>$J$95</f>
        <v>2020</v>
      </c>
      <c r="K525" s="587"/>
      <c r="L525" s="1545" t="s">
        <v>274</v>
      </c>
      <c r="M525" s="1545"/>
      <c r="N525" s="1545"/>
      <c r="O525" s="1545"/>
      <c r="P525" s="589"/>
      <c r="Q525" s="587"/>
    </row>
    <row r="526" spans="1:17">
      <c r="A526" s="693"/>
      <c r="B526" s="332"/>
      <c r="C526" s="700" t="s">
        <v>275</v>
      </c>
      <c r="D526" s="872">
        <v>2016</v>
      </c>
      <c r="E526" s="700" t="s">
        <v>276</v>
      </c>
      <c r="F526" s="701"/>
      <c r="G526" s="701"/>
      <c r="I526" s="332"/>
      <c r="J526" s="875">
        <v>0</v>
      </c>
      <c r="K526" s="703"/>
      <c r="L526" s="670" t="s">
        <v>475</v>
      </c>
      <c r="P526" s="589"/>
      <c r="Q526" s="703"/>
    </row>
    <row r="527" spans="1:17">
      <c r="A527" s="693"/>
      <c r="B527" s="332"/>
      <c r="C527" s="700" t="s">
        <v>277</v>
      </c>
      <c r="D527" s="1257">
        <v>11</v>
      </c>
      <c r="E527" s="700" t="s">
        <v>278</v>
      </c>
      <c r="F527" s="701"/>
      <c r="G527" s="701"/>
      <c r="I527" s="332"/>
      <c r="J527" s="704">
        <f>$F$70</f>
        <v>0.1009634410531228</v>
      </c>
      <c r="K527" s="705"/>
      <c r="L527" s="541" t="str">
        <f>"          INPUT TRUE-UP ARR (WITH &amp; WITHOUT INCENTIVES) FROM EACH PRIOR YEAR"</f>
        <v xml:space="preserve">          INPUT TRUE-UP ARR (WITH &amp; WITHOUT INCENTIVES) FROM EACH PRIOR YEAR</v>
      </c>
      <c r="P527" s="589"/>
      <c r="Q527" s="705"/>
    </row>
    <row r="528" spans="1:17">
      <c r="A528" s="693"/>
      <c r="B528" s="332"/>
      <c r="C528" s="700" t="s">
        <v>279</v>
      </c>
      <c r="D528" s="706">
        <f>H79</f>
        <v>46</v>
      </c>
      <c r="E528" s="700" t="s">
        <v>280</v>
      </c>
      <c r="F528" s="701"/>
      <c r="G528" s="701"/>
      <c r="I528" s="332"/>
      <c r="J528" s="704">
        <f>IF(H519="",J527,$F$69)</f>
        <v>0.1009634410531228</v>
      </c>
      <c r="K528" s="707"/>
      <c r="L528" s="541" t="s">
        <v>362</v>
      </c>
      <c r="M528" s="707"/>
      <c r="N528" s="707"/>
      <c r="O528" s="707"/>
      <c r="P528" s="589"/>
      <c r="Q528" s="707"/>
    </row>
    <row r="529" spans="1:17" ht="13.5" thickBot="1">
      <c r="A529" s="693"/>
      <c r="B529" s="332"/>
      <c r="C529" s="700" t="s">
        <v>281</v>
      </c>
      <c r="D529" s="874" t="s">
        <v>974</v>
      </c>
      <c r="E529" s="708" t="s">
        <v>282</v>
      </c>
      <c r="F529" s="709"/>
      <c r="G529" s="709"/>
      <c r="H529" s="710"/>
      <c r="I529" s="710"/>
      <c r="J529" s="686">
        <f>IF(D525=0,0,D525/D528)</f>
        <v>74551.566086956518</v>
      </c>
      <c r="K529" s="670"/>
      <c r="L529" s="670" t="s">
        <v>363</v>
      </c>
      <c r="M529" s="670"/>
      <c r="N529" s="670"/>
      <c r="O529" s="670"/>
      <c r="P529" s="589"/>
      <c r="Q529" s="670"/>
    </row>
    <row r="530" spans="1:17" ht="38.25">
      <c r="A530" s="528"/>
      <c r="B530" s="528"/>
      <c r="C530" s="711" t="s">
        <v>272</v>
      </c>
      <c r="D530" s="712" t="s">
        <v>283</v>
      </c>
      <c r="E530" s="713" t="s">
        <v>284</v>
      </c>
      <c r="F530" s="712" t="s">
        <v>285</v>
      </c>
      <c r="G530" s="712" t="s">
        <v>458</v>
      </c>
      <c r="H530" s="713" t="s">
        <v>356</v>
      </c>
      <c r="I530" s="714" t="s">
        <v>356</v>
      </c>
      <c r="J530" s="711" t="s">
        <v>295</v>
      </c>
      <c r="K530" s="715"/>
      <c r="L530" s="713" t="s">
        <v>358</v>
      </c>
      <c r="M530" s="713" t="s">
        <v>364</v>
      </c>
      <c r="N530" s="713" t="s">
        <v>358</v>
      </c>
      <c r="O530" s="713" t="s">
        <v>366</v>
      </c>
      <c r="P530" s="713" t="s">
        <v>286</v>
      </c>
      <c r="Q530" s="716"/>
    </row>
    <row r="531" spans="1:17" ht="13.5" thickBot="1">
      <c r="B531" s="332"/>
      <c r="C531" s="717" t="s">
        <v>177</v>
      </c>
      <c r="D531" s="718" t="s">
        <v>178</v>
      </c>
      <c r="E531" s="717" t="s">
        <v>37</v>
      </c>
      <c r="F531" s="718" t="s">
        <v>178</v>
      </c>
      <c r="G531" s="718" t="s">
        <v>178</v>
      </c>
      <c r="H531" s="719" t="s">
        <v>298</v>
      </c>
      <c r="I531" s="720" t="s">
        <v>300</v>
      </c>
      <c r="J531" s="721" t="s">
        <v>389</v>
      </c>
      <c r="K531" s="722"/>
      <c r="L531" s="719" t="s">
        <v>287</v>
      </c>
      <c r="M531" s="719" t="s">
        <v>287</v>
      </c>
      <c r="N531" s="719" t="s">
        <v>467</v>
      </c>
      <c r="O531" s="719" t="s">
        <v>467</v>
      </c>
      <c r="P531" s="719" t="s">
        <v>467</v>
      </c>
      <c r="Q531" s="587"/>
    </row>
    <row r="532" spans="1:17">
      <c r="B532" s="332"/>
      <c r="C532" s="723">
        <f>IF(D526= "","-",D526)</f>
        <v>2016</v>
      </c>
      <c r="D532" s="674">
        <f>+D525</f>
        <v>3429372.04</v>
      </c>
      <c r="E532" s="724">
        <f>+J529/12*(12-D527)</f>
        <v>6212.6305072463765</v>
      </c>
      <c r="F532" s="770">
        <f t="shared" ref="F532:F591" si="48">+D532-E532</f>
        <v>3423159.4094927534</v>
      </c>
      <c r="G532" s="674">
        <f t="shared" ref="G532:G591" si="49">+(D532+F532)/2</f>
        <v>3426265.7247463767</v>
      </c>
      <c r="H532" s="725">
        <f>+J527*G532+E532</f>
        <v>352140.20804001222</v>
      </c>
      <c r="I532" s="726">
        <f>+J528*G532+E532</f>
        <v>352140.20804001222</v>
      </c>
      <c r="J532" s="727">
        <f t="shared" ref="J532:J591" si="50">+I532-H532</f>
        <v>0</v>
      </c>
      <c r="K532" s="727"/>
      <c r="L532" s="728">
        <v>8871247</v>
      </c>
      <c r="M532" s="771">
        <f t="shared" ref="M532:M591" si="51">IF(L532&lt;&gt;0,+H532-L532,0)</f>
        <v>-8519106.791959988</v>
      </c>
      <c r="N532" s="728">
        <v>8871247</v>
      </c>
      <c r="O532" s="771">
        <f t="shared" ref="O532:O591" si="52">IF(N532&lt;&gt;0,+I532-N532,0)</f>
        <v>-8519106.791959988</v>
      </c>
      <c r="P532" s="771">
        <f t="shared" ref="P532:P591" si="53">+O532-M532</f>
        <v>0</v>
      </c>
      <c r="Q532" s="675"/>
    </row>
    <row r="533" spans="1:17">
      <c r="B533" s="332"/>
      <c r="C533" s="723">
        <f>IF(D526="","-",+C532+1)</f>
        <v>2017</v>
      </c>
      <c r="D533" s="674">
        <f t="shared" ref="D533:D591" si="54">F532</f>
        <v>3423159.4094927534</v>
      </c>
      <c r="E533" s="730">
        <f>IF(D533&gt;$J$529,$J$529,D533)</f>
        <v>74551.566086956518</v>
      </c>
      <c r="F533" s="730">
        <f t="shared" si="48"/>
        <v>3348607.8434057971</v>
      </c>
      <c r="G533" s="674">
        <f t="shared" si="49"/>
        <v>3385883.6264492753</v>
      </c>
      <c r="H533" s="724">
        <f>+J527*G533+E533</f>
        <v>416402.02801870159</v>
      </c>
      <c r="I533" s="731">
        <f>+J528*G533+E533</f>
        <v>416402.02801870159</v>
      </c>
      <c r="J533" s="727">
        <f t="shared" si="50"/>
        <v>0</v>
      </c>
      <c r="K533" s="727"/>
      <c r="L533" s="732">
        <v>8889735</v>
      </c>
      <c r="M533" s="727">
        <f t="shared" si="51"/>
        <v>-8473332.9719812982</v>
      </c>
      <c r="N533" s="732">
        <v>8889735</v>
      </c>
      <c r="O533" s="727">
        <f t="shared" si="52"/>
        <v>-8473332.9719812982</v>
      </c>
      <c r="P533" s="727">
        <f t="shared" si="53"/>
        <v>0</v>
      </c>
      <c r="Q533" s="675"/>
    </row>
    <row r="534" spans="1:17">
      <c r="B534" s="332"/>
      <c r="C534" s="723">
        <f>IF(D526="","-",+C533+1)</f>
        <v>2018</v>
      </c>
      <c r="D534" s="1453">
        <f t="shared" si="54"/>
        <v>3348607.8434057971</v>
      </c>
      <c r="E534" s="730">
        <f t="shared" ref="E534:E591" si="55">IF(D534&gt;$J$529,$J$529,D534)</f>
        <v>74551.566086956518</v>
      </c>
      <c r="F534" s="730">
        <f t="shared" si="48"/>
        <v>3274056.2773188408</v>
      </c>
      <c r="G534" s="674">
        <f t="shared" si="49"/>
        <v>3311332.060362319</v>
      </c>
      <c r="H534" s="724">
        <f>+J527*G534+E534</f>
        <v>408875.04537066317</v>
      </c>
      <c r="I534" s="731">
        <f>+J528*G534+E534</f>
        <v>408875.04537066317</v>
      </c>
      <c r="J534" s="727">
        <f t="shared" si="50"/>
        <v>0</v>
      </c>
      <c r="K534" s="727"/>
      <c r="L534" s="732">
        <v>1820478</v>
      </c>
      <c r="M534" s="727">
        <f t="shared" si="51"/>
        <v>-1411602.9546293369</v>
      </c>
      <c r="N534" s="732">
        <v>1820478</v>
      </c>
      <c r="O534" s="727">
        <f t="shared" si="52"/>
        <v>-1411602.9546293369</v>
      </c>
      <c r="P534" s="727">
        <f t="shared" si="53"/>
        <v>0</v>
      </c>
      <c r="Q534" s="675"/>
    </row>
    <row r="535" spans="1:17">
      <c r="B535" s="332"/>
      <c r="C535" s="723">
        <f>IF(D526="","-",+C534+1)</f>
        <v>2019</v>
      </c>
      <c r="D535" s="1270">
        <f t="shared" si="54"/>
        <v>3274056.2773188408</v>
      </c>
      <c r="E535" s="730">
        <f t="shared" si="55"/>
        <v>74551.566086956518</v>
      </c>
      <c r="F535" s="730">
        <f t="shared" si="48"/>
        <v>3199504.7112318845</v>
      </c>
      <c r="G535" s="674">
        <f t="shared" si="49"/>
        <v>3236780.4942753627</v>
      </c>
      <c r="H535" s="724">
        <f>+J527*G535+E535</f>
        <v>401348.0627226248</v>
      </c>
      <c r="I535" s="731">
        <f>+J528*G535+E535</f>
        <v>401348.0627226248</v>
      </c>
      <c r="J535" s="727">
        <f t="shared" si="50"/>
        <v>0</v>
      </c>
      <c r="K535" s="727"/>
      <c r="L535" s="732">
        <v>403595</v>
      </c>
      <c r="M535" s="727">
        <f t="shared" si="51"/>
        <v>-2246.9372773751966</v>
      </c>
      <c r="N535" s="732">
        <v>403595</v>
      </c>
      <c r="O535" s="727">
        <f t="shared" si="52"/>
        <v>-2246.9372773751966</v>
      </c>
      <c r="P535" s="727">
        <f t="shared" si="53"/>
        <v>0</v>
      </c>
      <c r="Q535" s="675"/>
    </row>
    <row r="536" spans="1:17">
      <c r="B536" s="332"/>
      <c r="C536" s="723">
        <f>IF(D526="","-",+C535+1)</f>
        <v>2020</v>
      </c>
      <c r="D536" s="1270">
        <f t="shared" si="54"/>
        <v>3199504.7112318845</v>
      </c>
      <c r="E536" s="730">
        <f t="shared" si="55"/>
        <v>74551.566086956518</v>
      </c>
      <c r="F536" s="730">
        <f t="shared" si="48"/>
        <v>3124953.1451449282</v>
      </c>
      <c r="G536" s="674">
        <f t="shared" si="49"/>
        <v>3162228.9281884064</v>
      </c>
      <c r="H536" s="724">
        <f>+J527*G536+E536</f>
        <v>393821.08007458638</v>
      </c>
      <c r="I536" s="731">
        <f>+J528*G536+E536</f>
        <v>393821.08007458638</v>
      </c>
      <c r="J536" s="727">
        <f t="shared" si="50"/>
        <v>0</v>
      </c>
      <c r="K536" s="727"/>
      <c r="L536" s="732">
        <v>387035.1088908845</v>
      </c>
      <c r="M536" s="727">
        <f t="shared" si="51"/>
        <v>6785.971183701884</v>
      </c>
      <c r="N536" s="732">
        <v>387035.1088908845</v>
      </c>
      <c r="O536" s="727">
        <f t="shared" si="52"/>
        <v>6785.971183701884</v>
      </c>
      <c r="P536" s="727">
        <f t="shared" si="53"/>
        <v>0</v>
      </c>
      <c r="Q536" s="675"/>
    </row>
    <row r="537" spans="1:17">
      <c r="B537" s="332"/>
      <c r="C537" s="723">
        <f>IF(D526="","-",+C536+1)</f>
        <v>2021</v>
      </c>
      <c r="D537" s="674">
        <f t="shared" si="54"/>
        <v>3124953.1451449282</v>
      </c>
      <c r="E537" s="730">
        <f t="shared" si="55"/>
        <v>74551.566086956518</v>
      </c>
      <c r="F537" s="730">
        <f t="shared" si="48"/>
        <v>3050401.5790579719</v>
      </c>
      <c r="G537" s="674">
        <f t="shared" si="49"/>
        <v>3087677.3621014501</v>
      </c>
      <c r="H537" s="724">
        <f>+J527*G537+E537</f>
        <v>386294.09742654796</v>
      </c>
      <c r="I537" s="731">
        <f>+J528*G537+E537</f>
        <v>386294.09742654796</v>
      </c>
      <c r="J537" s="727">
        <f t="shared" si="50"/>
        <v>0</v>
      </c>
      <c r="K537" s="727"/>
      <c r="L537" s="732">
        <v>0</v>
      </c>
      <c r="M537" s="727">
        <f t="shared" si="51"/>
        <v>0</v>
      </c>
      <c r="N537" s="732">
        <v>0</v>
      </c>
      <c r="O537" s="727">
        <f t="shared" si="52"/>
        <v>0</v>
      </c>
      <c r="P537" s="727">
        <f t="shared" si="53"/>
        <v>0</v>
      </c>
      <c r="Q537" s="675"/>
    </row>
    <row r="538" spans="1:17">
      <c r="B538" s="332"/>
      <c r="C538" s="723">
        <f>IF(D526="","-",+C537+1)</f>
        <v>2022</v>
      </c>
      <c r="D538" s="674">
        <f t="shared" si="54"/>
        <v>3050401.5790579719</v>
      </c>
      <c r="E538" s="730">
        <f t="shared" si="55"/>
        <v>74551.566086956518</v>
      </c>
      <c r="F538" s="730">
        <f t="shared" si="48"/>
        <v>2975850.0129710156</v>
      </c>
      <c r="G538" s="674">
        <f t="shared" si="49"/>
        <v>3013125.7960144938</v>
      </c>
      <c r="H538" s="724">
        <f>+J527*G538+E538</f>
        <v>378767.1147785096</v>
      </c>
      <c r="I538" s="731">
        <f>+J528*G538+E538</f>
        <v>378767.1147785096</v>
      </c>
      <c r="J538" s="727">
        <f t="shared" si="50"/>
        <v>0</v>
      </c>
      <c r="K538" s="727"/>
      <c r="L538" s="732">
        <v>0</v>
      </c>
      <c r="M538" s="727">
        <f t="shared" si="51"/>
        <v>0</v>
      </c>
      <c r="N538" s="732">
        <v>0</v>
      </c>
      <c r="O538" s="727">
        <f t="shared" si="52"/>
        <v>0</v>
      </c>
      <c r="P538" s="727">
        <f t="shared" si="53"/>
        <v>0</v>
      </c>
      <c r="Q538" s="675"/>
    </row>
    <row r="539" spans="1:17">
      <c r="B539" s="332"/>
      <c r="C539" s="723">
        <f>IF(D526="","-",+C538+1)</f>
        <v>2023</v>
      </c>
      <c r="D539" s="674">
        <f t="shared" si="54"/>
        <v>2975850.0129710156</v>
      </c>
      <c r="E539" s="730">
        <f t="shared" si="55"/>
        <v>74551.566086956518</v>
      </c>
      <c r="F539" s="730">
        <f t="shared" si="48"/>
        <v>2901298.4468840593</v>
      </c>
      <c r="G539" s="674">
        <f t="shared" si="49"/>
        <v>2938574.2299275375</v>
      </c>
      <c r="H539" s="724">
        <f>+J527*G539+E539</f>
        <v>371240.13213047117</v>
      </c>
      <c r="I539" s="731">
        <f>+J528*G539+E539</f>
        <v>371240.13213047117</v>
      </c>
      <c r="J539" s="727">
        <f t="shared" si="50"/>
        <v>0</v>
      </c>
      <c r="K539" s="727"/>
      <c r="L539" s="732">
        <v>0</v>
      </c>
      <c r="M539" s="727">
        <f t="shared" si="51"/>
        <v>0</v>
      </c>
      <c r="N539" s="732">
        <v>0</v>
      </c>
      <c r="O539" s="727">
        <f t="shared" si="52"/>
        <v>0</v>
      </c>
      <c r="P539" s="727">
        <f t="shared" si="53"/>
        <v>0</v>
      </c>
      <c r="Q539" s="675"/>
    </row>
    <row r="540" spans="1:17">
      <c r="B540" s="332"/>
      <c r="C540" s="723">
        <f>IF(D526="","-",+C539+1)</f>
        <v>2024</v>
      </c>
      <c r="D540" s="674">
        <f t="shared" si="54"/>
        <v>2901298.4468840593</v>
      </c>
      <c r="E540" s="730">
        <f t="shared" si="55"/>
        <v>74551.566086956518</v>
      </c>
      <c r="F540" s="730">
        <f t="shared" si="48"/>
        <v>2826746.880797103</v>
      </c>
      <c r="G540" s="674">
        <f t="shared" si="49"/>
        <v>2864022.6638405812</v>
      </c>
      <c r="H540" s="724">
        <f>+J527*G540+E540</f>
        <v>363713.14948243281</v>
      </c>
      <c r="I540" s="731">
        <f>+J528*G540+E540</f>
        <v>363713.14948243281</v>
      </c>
      <c r="J540" s="727">
        <f t="shared" si="50"/>
        <v>0</v>
      </c>
      <c r="K540" s="727"/>
      <c r="L540" s="732">
        <v>0</v>
      </c>
      <c r="M540" s="727">
        <f t="shared" si="51"/>
        <v>0</v>
      </c>
      <c r="N540" s="732">
        <v>0</v>
      </c>
      <c r="O540" s="727">
        <f t="shared" si="52"/>
        <v>0</v>
      </c>
      <c r="P540" s="727">
        <f t="shared" si="53"/>
        <v>0</v>
      </c>
      <c r="Q540" s="675"/>
    </row>
    <row r="541" spans="1:17">
      <c r="B541" s="332"/>
      <c r="C541" s="723">
        <f>IF(D526="","-",+C540+1)</f>
        <v>2025</v>
      </c>
      <c r="D541" s="674">
        <f t="shared" si="54"/>
        <v>2826746.880797103</v>
      </c>
      <c r="E541" s="730">
        <f t="shared" si="55"/>
        <v>74551.566086956518</v>
      </c>
      <c r="F541" s="730">
        <f t="shared" si="48"/>
        <v>2752195.3147101467</v>
      </c>
      <c r="G541" s="674">
        <f t="shared" si="49"/>
        <v>2789471.0977536249</v>
      </c>
      <c r="H541" s="724">
        <f>+J527*G541+E541</f>
        <v>356186.16683439439</v>
      </c>
      <c r="I541" s="731">
        <f>+J528*G541+E541</f>
        <v>356186.16683439439</v>
      </c>
      <c r="J541" s="727">
        <f t="shared" si="50"/>
        <v>0</v>
      </c>
      <c r="K541" s="727"/>
      <c r="L541" s="732">
        <v>0</v>
      </c>
      <c r="M541" s="727">
        <f t="shared" si="51"/>
        <v>0</v>
      </c>
      <c r="N541" s="732">
        <v>0</v>
      </c>
      <c r="O541" s="727">
        <f t="shared" si="52"/>
        <v>0</v>
      </c>
      <c r="P541" s="727">
        <f t="shared" si="53"/>
        <v>0</v>
      </c>
      <c r="Q541" s="675"/>
    </row>
    <row r="542" spans="1:17">
      <c r="B542" s="332"/>
      <c r="C542" s="723">
        <f>IF(D526="","-",+C541+1)</f>
        <v>2026</v>
      </c>
      <c r="D542" s="674">
        <f t="shared" si="54"/>
        <v>2752195.3147101467</v>
      </c>
      <c r="E542" s="730">
        <f t="shared" si="55"/>
        <v>74551.566086956518</v>
      </c>
      <c r="F542" s="730">
        <f t="shared" si="48"/>
        <v>2677643.7486231904</v>
      </c>
      <c r="G542" s="674">
        <f t="shared" si="49"/>
        <v>2714919.5316666686</v>
      </c>
      <c r="H542" s="724">
        <f>+J527*G542+E542</f>
        <v>348659.18418635597</v>
      </c>
      <c r="I542" s="731">
        <f>+J528*G542+E542</f>
        <v>348659.18418635597</v>
      </c>
      <c r="J542" s="727">
        <f t="shared" si="50"/>
        <v>0</v>
      </c>
      <c r="K542" s="727"/>
      <c r="L542" s="732">
        <v>0</v>
      </c>
      <c r="M542" s="727">
        <f t="shared" si="51"/>
        <v>0</v>
      </c>
      <c r="N542" s="732">
        <v>0</v>
      </c>
      <c r="O542" s="727">
        <f t="shared" si="52"/>
        <v>0</v>
      </c>
      <c r="P542" s="727">
        <f t="shared" si="53"/>
        <v>0</v>
      </c>
      <c r="Q542" s="675"/>
    </row>
    <row r="543" spans="1:17">
      <c r="B543" s="332"/>
      <c r="C543" s="723">
        <f>IF(D526="","-",+C542+1)</f>
        <v>2027</v>
      </c>
      <c r="D543" s="674">
        <f t="shared" si="54"/>
        <v>2677643.7486231904</v>
      </c>
      <c r="E543" s="730">
        <f t="shared" si="55"/>
        <v>74551.566086956518</v>
      </c>
      <c r="F543" s="730">
        <f t="shared" si="48"/>
        <v>2603092.1825362341</v>
      </c>
      <c r="G543" s="674">
        <f t="shared" si="49"/>
        <v>2640367.9655797123</v>
      </c>
      <c r="H543" s="724">
        <f>+J527*G543+E543</f>
        <v>341132.2015383176</v>
      </c>
      <c r="I543" s="731">
        <f>+J528*G543+E543</f>
        <v>341132.2015383176</v>
      </c>
      <c r="J543" s="727">
        <f t="shared" si="50"/>
        <v>0</v>
      </c>
      <c r="K543" s="727"/>
      <c r="L543" s="732"/>
      <c r="M543" s="727">
        <f t="shared" si="51"/>
        <v>0</v>
      </c>
      <c r="N543" s="732"/>
      <c r="O543" s="727">
        <f t="shared" si="52"/>
        <v>0</v>
      </c>
      <c r="P543" s="727">
        <f t="shared" si="53"/>
        <v>0</v>
      </c>
      <c r="Q543" s="675"/>
    </row>
    <row r="544" spans="1:17">
      <c r="B544" s="332"/>
      <c r="C544" s="723">
        <f>IF(D526="","-",+C543+1)</f>
        <v>2028</v>
      </c>
      <c r="D544" s="674">
        <f t="shared" si="54"/>
        <v>2603092.1825362341</v>
      </c>
      <c r="E544" s="730">
        <f t="shared" si="55"/>
        <v>74551.566086956518</v>
      </c>
      <c r="F544" s="730">
        <f t="shared" si="48"/>
        <v>2528540.6164492778</v>
      </c>
      <c r="G544" s="674">
        <f t="shared" si="49"/>
        <v>2565816.399492756</v>
      </c>
      <c r="H544" s="724">
        <f>+J527*G544+E544</f>
        <v>333605.21889027918</v>
      </c>
      <c r="I544" s="731">
        <f>+J528*G544+E544</f>
        <v>333605.21889027918</v>
      </c>
      <c r="J544" s="727">
        <f t="shared" si="50"/>
        <v>0</v>
      </c>
      <c r="K544" s="727"/>
      <c r="L544" s="732"/>
      <c r="M544" s="727">
        <f t="shared" si="51"/>
        <v>0</v>
      </c>
      <c r="N544" s="732"/>
      <c r="O544" s="727">
        <f t="shared" si="52"/>
        <v>0</v>
      </c>
      <c r="P544" s="727">
        <f t="shared" si="53"/>
        <v>0</v>
      </c>
      <c r="Q544" s="675"/>
    </row>
    <row r="545" spans="2:17">
      <c r="B545" s="332"/>
      <c r="C545" s="723">
        <f>IF(D526="","-",+C544+1)</f>
        <v>2029</v>
      </c>
      <c r="D545" s="674">
        <f t="shared" si="54"/>
        <v>2528540.6164492778</v>
      </c>
      <c r="E545" s="730">
        <f t="shared" si="55"/>
        <v>74551.566086956518</v>
      </c>
      <c r="F545" s="730">
        <f t="shared" si="48"/>
        <v>2453989.0503623215</v>
      </c>
      <c r="G545" s="674">
        <f t="shared" si="49"/>
        <v>2491264.8334057997</v>
      </c>
      <c r="H545" s="724">
        <f>+J527*G545+E545</f>
        <v>326078.23624224076</v>
      </c>
      <c r="I545" s="731">
        <f>+J528*G545+E545</f>
        <v>326078.23624224076</v>
      </c>
      <c r="J545" s="727">
        <f t="shared" si="50"/>
        <v>0</v>
      </c>
      <c r="K545" s="727"/>
      <c r="L545" s="732"/>
      <c r="M545" s="727">
        <f t="shared" si="51"/>
        <v>0</v>
      </c>
      <c r="N545" s="732"/>
      <c r="O545" s="727">
        <f t="shared" si="52"/>
        <v>0</v>
      </c>
      <c r="P545" s="727">
        <f t="shared" si="53"/>
        <v>0</v>
      </c>
      <c r="Q545" s="675"/>
    </row>
    <row r="546" spans="2:17">
      <c r="B546" s="332"/>
      <c r="C546" s="723">
        <f>IF(D526="","-",+C545+1)</f>
        <v>2030</v>
      </c>
      <c r="D546" s="674">
        <f t="shared" si="54"/>
        <v>2453989.0503623215</v>
      </c>
      <c r="E546" s="730">
        <f t="shared" si="55"/>
        <v>74551.566086956518</v>
      </c>
      <c r="F546" s="730">
        <f t="shared" si="48"/>
        <v>2379437.4842753652</v>
      </c>
      <c r="G546" s="674">
        <f t="shared" si="49"/>
        <v>2416713.2673188434</v>
      </c>
      <c r="H546" s="724">
        <f>+J527*G546+E546</f>
        <v>318551.25359420234</v>
      </c>
      <c r="I546" s="731">
        <f>+J528*G546+E546</f>
        <v>318551.25359420234</v>
      </c>
      <c r="J546" s="727">
        <f t="shared" si="50"/>
        <v>0</v>
      </c>
      <c r="K546" s="727"/>
      <c r="L546" s="732"/>
      <c r="M546" s="727">
        <f t="shared" si="51"/>
        <v>0</v>
      </c>
      <c r="N546" s="732"/>
      <c r="O546" s="727">
        <f t="shared" si="52"/>
        <v>0</v>
      </c>
      <c r="P546" s="727">
        <f t="shared" si="53"/>
        <v>0</v>
      </c>
      <c r="Q546" s="675"/>
    </row>
    <row r="547" spans="2:17">
      <c r="B547" s="332"/>
      <c r="C547" s="723">
        <f>IF(D526="","-",+C546+1)</f>
        <v>2031</v>
      </c>
      <c r="D547" s="674">
        <f t="shared" si="54"/>
        <v>2379437.4842753652</v>
      </c>
      <c r="E547" s="730">
        <f t="shared" si="55"/>
        <v>74551.566086956518</v>
      </c>
      <c r="F547" s="730">
        <f t="shared" si="48"/>
        <v>2304885.9181884089</v>
      </c>
      <c r="G547" s="674">
        <f t="shared" si="49"/>
        <v>2342161.7012318871</v>
      </c>
      <c r="H547" s="724">
        <f>+J527*G547+E547</f>
        <v>311024.27094616398</v>
      </c>
      <c r="I547" s="731">
        <f>+J528*G547+E547</f>
        <v>311024.27094616398</v>
      </c>
      <c r="J547" s="727">
        <f t="shared" si="50"/>
        <v>0</v>
      </c>
      <c r="K547" s="727"/>
      <c r="L547" s="732"/>
      <c r="M547" s="727">
        <f t="shared" si="51"/>
        <v>0</v>
      </c>
      <c r="N547" s="732"/>
      <c r="O547" s="727">
        <f t="shared" si="52"/>
        <v>0</v>
      </c>
      <c r="P547" s="727">
        <f t="shared" si="53"/>
        <v>0</v>
      </c>
      <c r="Q547" s="675"/>
    </row>
    <row r="548" spans="2:17">
      <c r="B548" s="332"/>
      <c r="C548" s="723">
        <f>IF(D526="","-",+C547+1)</f>
        <v>2032</v>
      </c>
      <c r="D548" s="674">
        <f t="shared" si="54"/>
        <v>2304885.9181884089</v>
      </c>
      <c r="E548" s="730">
        <f t="shared" si="55"/>
        <v>74551.566086956518</v>
      </c>
      <c r="F548" s="730">
        <f t="shared" si="48"/>
        <v>2230334.3521014526</v>
      </c>
      <c r="G548" s="674">
        <f t="shared" si="49"/>
        <v>2267610.1351449308</v>
      </c>
      <c r="H548" s="724">
        <f>+J527*G548+E548</f>
        <v>303497.28829812555</v>
      </c>
      <c r="I548" s="731">
        <f>+J528*G548+E548</f>
        <v>303497.28829812555</v>
      </c>
      <c r="J548" s="727">
        <f t="shared" si="50"/>
        <v>0</v>
      </c>
      <c r="K548" s="727"/>
      <c r="L548" s="732"/>
      <c r="M548" s="727">
        <f t="shared" si="51"/>
        <v>0</v>
      </c>
      <c r="N548" s="732"/>
      <c r="O548" s="727">
        <f t="shared" si="52"/>
        <v>0</v>
      </c>
      <c r="P548" s="727">
        <f t="shared" si="53"/>
        <v>0</v>
      </c>
      <c r="Q548" s="675"/>
    </row>
    <row r="549" spans="2:17">
      <c r="B549" s="332"/>
      <c r="C549" s="723">
        <f>IF(D526="","-",+C548+1)</f>
        <v>2033</v>
      </c>
      <c r="D549" s="674">
        <f t="shared" si="54"/>
        <v>2230334.3521014526</v>
      </c>
      <c r="E549" s="730">
        <f t="shared" si="55"/>
        <v>74551.566086956518</v>
      </c>
      <c r="F549" s="730">
        <f t="shared" si="48"/>
        <v>2155782.7860144963</v>
      </c>
      <c r="G549" s="674">
        <f t="shared" si="49"/>
        <v>2193058.5690579745</v>
      </c>
      <c r="H549" s="724">
        <f>+J527*G549+E549</f>
        <v>295970.30565008719</v>
      </c>
      <c r="I549" s="731">
        <f>+J528*G549+E549</f>
        <v>295970.30565008719</v>
      </c>
      <c r="J549" s="727">
        <f t="shared" si="50"/>
        <v>0</v>
      </c>
      <c r="K549" s="727"/>
      <c r="L549" s="732"/>
      <c r="M549" s="727">
        <f t="shared" si="51"/>
        <v>0</v>
      </c>
      <c r="N549" s="732"/>
      <c r="O549" s="727">
        <f t="shared" si="52"/>
        <v>0</v>
      </c>
      <c r="P549" s="727">
        <f t="shared" si="53"/>
        <v>0</v>
      </c>
      <c r="Q549" s="675"/>
    </row>
    <row r="550" spans="2:17">
      <c r="B550" s="332"/>
      <c r="C550" s="723">
        <f>IF(D526="","-",+C549+1)</f>
        <v>2034</v>
      </c>
      <c r="D550" s="674">
        <f t="shared" si="54"/>
        <v>2155782.7860144963</v>
      </c>
      <c r="E550" s="730">
        <f t="shared" si="55"/>
        <v>74551.566086956518</v>
      </c>
      <c r="F550" s="730">
        <f t="shared" si="48"/>
        <v>2081231.2199275398</v>
      </c>
      <c r="G550" s="674">
        <f t="shared" si="49"/>
        <v>2118507.0029710182</v>
      </c>
      <c r="H550" s="724">
        <f>+J527*G550+E550</f>
        <v>288443.32300204877</v>
      </c>
      <c r="I550" s="731">
        <f>+J528*G550+E550</f>
        <v>288443.32300204877</v>
      </c>
      <c r="J550" s="727">
        <f t="shared" si="50"/>
        <v>0</v>
      </c>
      <c r="K550" s="727"/>
      <c r="L550" s="732"/>
      <c r="M550" s="727">
        <f t="shared" si="51"/>
        <v>0</v>
      </c>
      <c r="N550" s="732"/>
      <c r="O550" s="727">
        <f t="shared" si="52"/>
        <v>0</v>
      </c>
      <c r="P550" s="727">
        <f t="shared" si="53"/>
        <v>0</v>
      </c>
      <c r="Q550" s="675"/>
    </row>
    <row r="551" spans="2:17">
      <c r="B551" s="332"/>
      <c r="C551" s="723">
        <f>IF(D526="","-",+C550+1)</f>
        <v>2035</v>
      </c>
      <c r="D551" s="674">
        <f t="shared" si="54"/>
        <v>2081231.2199275398</v>
      </c>
      <c r="E551" s="730">
        <f t="shared" si="55"/>
        <v>74551.566086956518</v>
      </c>
      <c r="F551" s="730">
        <f t="shared" si="48"/>
        <v>2006679.6538405833</v>
      </c>
      <c r="G551" s="674">
        <f t="shared" si="49"/>
        <v>2043955.4368840614</v>
      </c>
      <c r="H551" s="724">
        <f>+J527*G551+E551</f>
        <v>280916.34035401029</v>
      </c>
      <c r="I551" s="731">
        <f>+J528*G551+E551</f>
        <v>280916.34035401029</v>
      </c>
      <c r="J551" s="727">
        <f t="shared" si="50"/>
        <v>0</v>
      </c>
      <c r="K551" s="727"/>
      <c r="L551" s="732"/>
      <c r="M551" s="727">
        <f t="shared" si="51"/>
        <v>0</v>
      </c>
      <c r="N551" s="732"/>
      <c r="O551" s="727">
        <f t="shared" si="52"/>
        <v>0</v>
      </c>
      <c r="P551" s="727">
        <f t="shared" si="53"/>
        <v>0</v>
      </c>
      <c r="Q551" s="675"/>
    </row>
    <row r="552" spans="2:17">
      <c r="B552" s="332"/>
      <c r="C552" s="723">
        <f>IF(D526="","-",+C551+1)</f>
        <v>2036</v>
      </c>
      <c r="D552" s="674">
        <f t="shared" si="54"/>
        <v>2006679.6538405833</v>
      </c>
      <c r="E552" s="730">
        <f t="shared" si="55"/>
        <v>74551.566086956518</v>
      </c>
      <c r="F552" s="730">
        <f t="shared" si="48"/>
        <v>1932128.0877536268</v>
      </c>
      <c r="G552" s="674">
        <f t="shared" si="49"/>
        <v>1969403.8707971051</v>
      </c>
      <c r="H552" s="724">
        <f>+J527*G552+E552</f>
        <v>273389.35770597192</v>
      </c>
      <c r="I552" s="731">
        <f>+J528*G552+E552</f>
        <v>273389.35770597192</v>
      </c>
      <c r="J552" s="727">
        <f t="shared" si="50"/>
        <v>0</v>
      </c>
      <c r="K552" s="727"/>
      <c r="L552" s="732"/>
      <c r="M552" s="727">
        <f t="shared" si="51"/>
        <v>0</v>
      </c>
      <c r="N552" s="732"/>
      <c r="O552" s="727">
        <f t="shared" si="52"/>
        <v>0</v>
      </c>
      <c r="P552" s="727">
        <f t="shared" si="53"/>
        <v>0</v>
      </c>
      <c r="Q552" s="675"/>
    </row>
    <row r="553" spans="2:17">
      <c r="B553" s="332"/>
      <c r="C553" s="723">
        <f>IF(D526="","-",+C552+1)</f>
        <v>2037</v>
      </c>
      <c r="D553" s="674">
        <f t="shared" si="54"/>
        <v>1932128.0877536268</v>
      </c>
      <c r="E553" s="730">
        <f t="shared" si="55"/>
        <v>74551.566086956518</v>
      </c>
      <c r="F553" s="730">
        <f t="shared" si="48"/>
        <v>1857576.5216666702</v>
      </c>
      <c r="G553" s="674">
        <f t="shared" si="49"/>
        <v>1894852.3047101484</v>
      </c>
      <c r="H553" s="724">
        <f>+J527*G553+E553</f>
        <v>265862.37505793344</v>
      </c>
      <c r="I553" s="731">
        <f>+J528*G553+E553</f>
        <v>265862.37505793344</v>
      </c>
      <c r="J553" s="727">
        <f t="shared" si="50"/>
        <v>0</v>
      </c>
      <c r="K553" s="727"/>
      <c r="L553" s="732"/>
      <c r="M553" s="727">
        <f t="shared" si="51"/>
        <v>0</v>
      </c>
      <c r="N553" s="732"/>
      <c r="O553" s="727">
        <f t="shared" si="52"/>
        <v>0</v>
      </c>
      <c r="P553" s="727">
        <f t="shared" si="53"/>
        <v>0</v>
      </c>
      <c r="Q553" s="675"/>
    </row>
    <row r="554" spans="2:17">
      <c r="B554" s="332"/>
      <c r="C554" s="723">
        <f>IF(D526="","-",+C553+1)</f>
        <v>2038</v>
      </c>
      <c r="D554" s="674">
        <f t="shared" si="54"/>
        <v>1857576.5216666702</v>
      </c>
      <c r="E554" s="730">
        <f t="shared" si="55"/>
        <v>74551.566086956518</v>
      </c>
      <c r="F554" s="730">
        <f t="shared" si="48"/>
        <v>1783024.9555797137</v>
      </c>
      <c r="G554" s="674">
        <f t="shared" si="49"/>
        <v>1820300.7386231921</v>
      </c>
      <c r="H554" s="724">
        <f>+J527*G554+E554</f>
        <v>258335.39240989508</v>
      </c>
      <c r="I554" s="731">
        <f>+J528*G554+E554</f>
        <v>258335.39240989508</v>
      </c>
      <c r="J554" s="727">
        <f t="shared" si="50"/>
        <v>0</v>
      </c>
      <c r="K554" s="727"/>
      <c r="L554" s="732"/>
      <c r="M554" s="727">
        <f t="shared" si="51"/>
        <v>0</v>
      </c>
      <c r="N554" s="732"/>
      <c r="O554" s="727">
        <f t="shared" si="52"/>
        <v>0</v>
      </c>
      <c r="P554" s="727">
        <f t="shared" si="53"/>
        <v>0</v>
      </c>
      <c r="Q554" s="675"/>
    </row>
    <row r="555" spans="2:17">
      <c r="B555" s="332"/>
      <c r="C555" s="723">
        <f>IF(D526="","-",+C554+1)</f>
        <v>2039</v>
      </c>
      <c r="D555" s="674">
        <f t="shared" si="54"/>
        <v>1783024.9555797137</v>
      </c>
      <c r="E555" s="730">
        <f t="shared" si="55"/>
        <v>74551.566086956518</v>
      </c>
      <c r="F555" s="730">
        <f t="shared" si="48"/>
        <v>1708473.3894927572</v>
      </c>
      <c r="G555" s="674">
        <f t="shared" si="49"/>
        <v>1745749.1725362353</v>
      </c>
      <c r="H555" s="724">
        <f>+J527*G555+E555</f>
        <v>250808.4097618566</v>
      </c>
      <c r="I555" s="731">
        <f>+J528*G555+E555</f>
        <v>250808.4097618566</v>
      </c>
      <c r="J555" s="727">
        <f t="shared" si="50"/>
        <v>0</v>
      </c>
      <c r="K555" s="727"/>
      <c r="L555" s="732"/>
      <c r="M555" s="727">
        <f t="shared" si="51"/>
        <v>0</v>
      </c>
      <c r="N555" s="732"/>
      <c r="O555" s="727">
        <f t="shared" si="52"/>
        <v>0</v>
      </c>
      <c r="P555" s="727">
        <f t="shared" si="53"/>
        <v>0</v>
      </c>
      <c r="Q555" s="675"/>
    </row>
    <row r="556" spans="2:17">
      <c r="B556" s="332"/>
      <c r="C556" s="723">
        <f>IF(D526="","-",+C555+1)</f>
        <v>2040</v>
      </c>
      <c r="D556" s="674">
        <f t="shared" si="54"/>
        <v>1708473.3894927572</v>
      </c>
      <c r="E556" s="730">
        <f t="shared" si="55"/>
        <v>74551.566086956518</v>
      </c>
      <c r="F556" s="730">
        <f t="shared" si="48"/>
        <v>1633921.8234058006</v>
      </c>
      <c r="G556" s="674">
        <f t="shared" si="49"/>
        <v>1671197.606449279</v>
      </c>
      <c r="H556" s="724">
        <f>+J527*G556+E556</f>
        <v>243281.42711381824</v>
      </c>
      <c r="I556" s="731">
        <f>+J528*G556+E556</f>
        <v>243281.42711381824</v>
      </c>
      <c r="J556" s="727">
        <f t="shared" si="50"/>
        <v>0</v>
      </c>
      <c r="K556" s="727"/>
      <c r="L556" s="732"/>
      <c r="M556" s="727">
        <f t="shared" si="51"/>
        <v>0</v>
      </c>
      <c r="N556" s="732"/>
      <c r="O556" s="727">
        <f t="shared" si="52"/>
        <v>0</v>
      </c>
      <c r="P556" s="727">
        <f t="shared" si="53"/>
        <v>0</v>
      </c>
      <c r="Q556" s="675"/>
    </row>
    <row r="557" spans="2:17">
      <c r="B557" s="332"/>
      <c r="C557" s="723">
        <f>IF(D526="","-",+C556+1)</f>
        <v>2041</v>
      </c>
      <c r="D557" s="674">
        <f t="shared" si="54"/>
        <v>1633921.8234058006</v>
      </c>
      <c r="E557" s="730">
        <f t="shared" si="55"/>
        <v>74551.566086956518</v>
      </c>
      <c r="F557" s="730">
        <f t="shared" si="48"/>
        <v>1559370.2573188441</v>
      </c>
      <c r="G557" s="674">
        <f t="shared" si="49"/>
        <v>1596646.0403623222</v>
      </c>
      <c r="H557" s="724">
        <f>+J527*G557+E557</f>
        <v>235754.44446577976</v>
      </c>
      <c r="I557" s="731">
        <f>+J528*G557+E557</f>
        <v>235754.44446577976</v>
      </c>
      <c r="J557" s="727">
        <f t="shared" si="50"/>
        <v>0</v>
      </c>
      <c r="K557" s="727"/>
      <c r="L557" s="732"/>
      <c r="M557" s="727">
        <f t="shared" si="51"/>
        <v>0</v>
      </c>
      <c r="N557" s="732"/>
      <c r="O557" s="727">
        <f t="shared" si="52"/>
        <v>0</v>
      </c>
      <c r="P557" s="727">
        <f t="shared" si="53"/>
        <v>0</v>
      </c>
      <c r="Q557" s="675"/>
    </row>
    <row r="558" spans="2:17">
      <c r="B558" s="332"/>
      <c r="C558" s="723">
        <f>IF(D526="","-",+C557+1)</f>
        <v>2042</v>
      </c>
      <c r="D558" s="674">
        <f t="shared" si="54"/>
        <v>1559370.2573188441</v>
      </c>
      <c r="E558" s="730">
        <f t="shared" si="55"/>
        <v>74551.566086956518</v>
      </c>
      <c r="F558" s="730">
        <f t="shared" si="48"/>
        <v>1484818.6912318876</v>
      </c>
      <c r="G558" s="674">
        <f t="shared" si="49"/>
        <v>1522094.4742753659</v>
      </c>
      <c r="H558" s="724">
        <f>+J527*G558+E558</f>
        <v>228227.46181774134</v>
      </c>
      <c r="I558" s="731">
        <f>+J528*G558+E558</f>
        <v>228227.46181774134</v>
      </c>
      <c r="J558" s="727">
        <f t="shared" si="50"/>
        <v>0</v>
      </c>
      <c r="K558" s="727"/>
      <c r="L558" s="732"/>
      <c r="M558" s="727">
        <f t="shared" si="51"/>
        <v>0</v>
      </c>
      <c r="N558" s="732"/>
      <c r="O558" s="727">
        <f t="shared" si="52"/>
        <v>0</v>
      </c>
      <c r="P558" s="727">
        <f t="shared" si="53"/>
        <v>0</v>
      </c>
      <c r="Q558" s="675"/>
    </row>
    <row r="559" spans="2:17">
      <c r="B559" s="332"/>
      <c r="C559" s="723">
        <f>IF(D526="","-",+C558+1)</f>
        <v>2043</v>
      </c>
      <c r="D559" s="674">
        <f t="shared" si="54"/>
        <v>1484818.6912318876</v>
      </c>
      <c r="E559" s="730">
        <f t="shared" si="55"/>
        <v>74551.566086956518</v>
      </c>
      <c r="F559" s="730">
        <f t="shared" si="48"/>
        <v>1410267.125144931</v>
      </c>
      <c r="G559" s="674">
        <f t="shared" si="49"/>
        <v>1447542.9081884092</v>
      </c>
      <c r="H559" s="724">
        <f>+J527*G559+E559</f>
        <v>220700.47916970291</v>
      </c>
      <c r="I559" s="731">
        <f>+J528*G559+E559</f>
        <v>220700.47916970291</v>
      </c>
      <c r="J559" s="727">
        <f t="shared" si="50"/>
        <v>0</v>
      </c>
      <c r="K559" s="727"/>
      <c r="L559" s="732"/>
      <c r="M559" s="727">
        <f t="shared" si="51"/>
        <v>0</v>
      </c>
      <c r="N559" s="732"/>
      <c r="O559" s="727">
        <f t="shared" si="52"/>
        <v>0</v>
      </c>
      <c r="P559" s="727">
        <f t="shared" si="53"/>
        <v>0</v>
      </c>
      <c r="Q559" s="675"/>
    </row>
    <row r="560" spans="2:17">
      <c r="B560" s="332"/>
      <c r="C560" s="723">
        <f>IF(D526="","-",+C559+1)</f>
        <v>2044</v>
      </c>
      <c r="D560" s="674">
        <f t="shared" si="54"/>
        <v>1410267.125144931</v>
      </c>
      <c r="E560" s="730">
        <f t="shared" si="55"/>
        <v>74551.566086956518</v>
      </c>
      <c r="F560" s="730">
        <f t="shared" si="48"/>
        <v>1335715.5590579745</v>
      </c>
      <c r="G560" s="674">
        <f t="shared" si="49"/>
        <v>1372991.3421014529</v>
      </c>
      <c r="H560" s="724">
        <f>+J527*G560+E560</f>
        <v>213173.49652166449</v>
      </c>
      <c r="I560" s="731">
        <f>+J528*G560+E560</f>
        <v>213173.49652166449</v>
      </c>
      <c r="J560" s="727">
        <f t="shared" si="50"/>
        <v>0</v>
      </c>
      <c r="K560" s="727"/>
      <c r="L560" s="732"/>
      <c r="M560" s="727">
        <f t="shared" si="51"/>
        <v>0</v>
      </c>
      <c r="N560" s="732"/>
      <c r="O560" s="727">
        <f t="shared" si="52"/>
        <v>0</v>
      </c>
      <c r="P560" s="727">
        <f t="shared" si="53"/>
        <v>0</v>
      </c>
      <c r="Q560" s="675"/>
    </row>
    <row r="561" spans="2:17">
      <c r="B561" s="332"/>
      <c r="C561" s="723">
        <f>IF(D526="","-",+C560+1)</f>
        <v>2045</v>
      </c>
      <c r="D561" s="674">
        <f t="shared" si="54"/>
        <v>1335715.5590579745</v>
      </c>
      <c r="E561" s="730">
        <f t="shared" si="55"/>
        <v>74551.566086956518</v>
      </c>
      <c r="F561" s="730">
        <f t="shared" si="48"/>
        <v>1261163.992971018</v>
      </c>
      <c r="G561" s="674">
        <f t="shared" si="49"/>
        <v>1298439.7760144961</v>
      </c>
      <c r="H561" s="724">
        <f>+J527*G561+E561</f>
        <v>205646.51387362607</v>
      </c>
      <c r="I561" s="731">
        <f>+J528*G561+E561</f>
        <v>205646.51387362607</v>
      </c>
      <c r="J561" s="727">
        <f t="shared" si="50"/>
        <v>0</v>
      </c>
      <c r="K561" s="727"/>
      <c r="L561" s="732"/>
      <c r="M561" s="727">
        <f t="shared" si="51"/>
        <v>0</v>
      </c>
      <c r="N561" s="732"/>
      <c r="O561" s="727">
        <f t="shared" si="52"/>
        <v>0</v>
      </c>
      <c r="P561" s="727">
        <f t="shared" si="53"/>
        <v>0</v>
      </c>
      <c r="Q561" s="675"/>
    </row>
    <row r="562" spans="2:17">
      <c r="B562" s="332"/>
      <c r="C562" s="723">
        <f>IF(D526="","-",+C561+1)</f>
        <v>2046</v>
      </c>
      <c r="D562" s="674">
        <f t="shared" si="54"/>
        <v>1261163.992971018</v>
      </c>
      <c r="E562" s="730">
        <f t="shared" si="55"/>
        <v>74551.566086956518</v>
      </c>
      <c r="F562" s="730">
        <f t="shared" si="48"/>
        <v>1186612.4268840614</v>
      </c>
      <c r="G562" s="674">
        <f t="shared" si="49"/>
        <v>1223888.2099275398</v>
      </c>
      <c r="H562" s="724">
        <f>+J527*G562+E562</f>
        <v>198119.53122558765</v>
      </c>
      <c r="I562" s="731">
        <f>+J528*G562+E562</f>
        <v>198119.53122558765</v>
      </c>
      <c r="J562" s="727">
        <f t="shared" si="50"/>
        <v>0</v>
      </c>
      <c r="K562" s="727"/>
      <c r="L562" s="732"/>
      <c r="M562" s="727">
        <f t="shared" si="51"/>
        <v>0</v>
      </c>
      <c r="N562" s="732"/>
      <c r="O562" s="727">
        <f t="shared" si="52"/>
        <v>0</v>
      </c>
      <c r="P562" s="727">
        <f t="shared" si="53"/>
        <v>0</v>
      </c>
      <c r="Q562" s="675"/>
    </row>
    <row r="563" spans="2:17">
      <c r="B563" s="332"/>
      <c r="C563" s="723">
        <f>IF(D526="","-",+C562+1)</f>
        <v>2047</v>
      </c>
      <c r="D563" s="674">
        <f t="shared" si="54"/>
        <v>1186612.4268840614</v>
      </c>
      <c r="E563" s="730">
        <f t="shared" si="55"/>
        <v>74551.566086956518</v>
      </c>
      <c r="F563" s="730">
        <f t="shared" si="48"/>
        <v>1112060.8607971049</v>
      </c>
      <c r="G563" s="674">
        <f t="shared" si="49"/>
        <v>1149336.643840583</v>
      </c>
      <c r="H563" s="724">
        <f>+J527*G563+E563</f>
        <v>190592.54857754923</v>
      </c>
      <c r="I563" s="731">
        <f>+J528*G563+E563</f>
        <v>190592.54857754923</v>
      </c>
      <c r="J563" s="727">
        <f t="shared" si="50"/>
        <v>0</v>
      </c>
      <c r="K563" s="727"/>
      <c r="L563" s="732"/>
      <c r="M563" s="727">
        <f t="shared" si="51"/>
        <v>0</v>
      </c>
      <c r="N563" s="732"/>
      <c r="O563" s="727">
        <f t="shared" si="52"/>
        <v>0</v>
      </c>
      <c r="P563" s="727">
        <f t="shared" si="53"/>
        <v>0</v>
      </c>
      <c r="Q563" s="675"/>
    </row>
    <row r="564" spans="2:17">
      <c r="B564" s="332"/>
      <c r="C564" s="723">
        <f>IF(D526="","-",+C563+1)</f>
        <v>2048</v>
      </c>
      <c r="D564" s="674">
        <f t="shared" si="54"/>
        <v>1112060.8607971049</v>
      </c>
      <c r="E564" s="730">
        <f t="shared" si="55"/>
        <v>74551.566086956518</v>
      </c>
      <c r="F564" s="730">
        <f t="shared" si="48"/>
        <v>1037509.2947101484</v>
      </c>
      <c r="G564" s="674">
        <f t="shared" si="49"/>
        <v>1074785.0777536267</v>
      </c>
      <c r="H564" s="724">
        <f>+J527*G564+E564</f>
        <v>183065.56592951081</v>
      </c>
      <c r="I564" s="731">
        <f>+J528*G564+E564</f>
        <v>183065.56592951081</v>
      </c>
      <c r="J564" s="727">
        <f t="shared" si="50"/>
        <v>0</v>
      </c>
      <c r="K564" s="727"/>
      <c r="L564" s="732"/>
      <c r="M564" s="727">
        <f t="shared" si="51"/>
        <v>0</v>
      </c>
      <c r="N564" s="732"/>
      <c r="O564" s="727">
        <f t="shared" si="52"/>
        <v>0</v>
      </c>
      <c r="P564" s="727">
        <f t="shared" si="53"/>
        <v>0</v>
      </c>
      <c r="Q564" s="675"/>
    </row>
    <row r="565" spans="2:17">
      <c r="B565" s="332"/>
      <c r="C565" s="723">
        <f>IF(D526="","-",+C564+1)</f>
        <v>2049</v>
      </c>
      <c r="D565" s="674">
        <f t="shared" si="54"/>
        <v>1037509.2947101484</v>
      </c>
      <c r="E565" s="730">
        <f t="shared" si="55"/>
        <v>74551.566086956518</v>
      </c>
      <c r="F565" s="730">
        <f t="shared" si="48"/>
        <v>962957.72862319183</v>
      </c>
      <c r="G565" s="674">
        <f t="shared" si="49"/>
        <v>1000233.5116666701</v>
      </c>
      <c r="H565" s="724">
        <f>+J527*G565+E565</f>
        <v>175538.58328147238</v>
      </c>
      <c r="I565" s="731">
        <f>+J528*G565+E565</f>
        <v>175538.58328147238</v>
      </c>
      <c r="J565" s="727">
        <f t="shared" si="50"/>
        <v>0</v>
      </c>
      <c r="K565" s="727"/>
      <c r="L565" s="732"/>
      <c r="M565" s="727">
        <f t="shared" si="51"/>
        <v>0</v>
      </c>
      <c r="N565" s="732"/>
      <c r="O565" s="727">
        <f t="shared" si="52"/>
        <v>0</v>
      </c>
      <c r="P565" s="727">
        <f t="shared" si="53"/>
        <v>0</v>
      </c>
      <c r="Q565" s="675"/>
    </row>
    <row r="566" spans="2:17">
      <c r="B566" s="332"/>
      <c r="C566" s="723">
        <f>IF(D526="","-",+C565+1)</f>
        <v>2050</v>
      </c>
      <c r="D566" s="674">
        <f t="shared" si="54"/>
        <v>962957.72862319183</v>
      </c>
      <c r="E566" s="730">
        <f t="shared" si="55"/>
        <v>74551.566086956518</v>
      </c>
      <c r="F566" s="730">
        <f t="shared" si="48"/>
        <v>888406.16253623529</v>
      </c>
      <c r="G566" s="674">
        <f t="shared" si="49"/>
        <v>925681.94557971356</v>
      </c>
      <c r="H566" s="724">
        <f>+J527*G566+E566</f>
        <v>168011.60063343396</v>
      </c>
      <c r="I566" s="731">
        <f>+J528*G566+E566</f>
        <v>168011.60063343396</v>
      </c>
      <c r="J566" s="727">
        <f t="shared" si="50"/>
        <v>0</v>
      </c>
      <c r="K566" s="727"/>
      <c r="L566" s="732"/>
      <c r="M566" s="727">
        <f t="shared" si="51"/>
        <v>0</v>
      </c>
      <c r="N566" s="732"/>
      <c r="O566" s="727">
        <f t="shared" si="52"/>
        <v>0</v>
      </c>
      <c r="P566" s="727">
        <f t="shared" si="53"/>
        <v>0</v>
      </c>
      <c r="Q566" s="675"/>
    </row>
    <row r="567" spans="2:17">
      <c r="B567" s="332"/>
      <c r="C567" s="723">
        <f>IF(D526="","-",+C566+1)</f>
        <v>2051</v>
      </c>
      <c r="D567" s="674">
        <f t="shared" si="54"/>
        <v>888406.16253623529</v>
      </c>
      <c r="E567" s="730">
        <f t="shared" si="55"/>
        <v>74551.566086956518</v>
      </c>
      <c r="F567" s="730">
        <f t="shared" si="48"/>
        <v>813854.59644927876</v>
      </c>
      <c r="G567" s="674">
        <f t="shared" si="49"/>
        <v>851130.37949275703</v>
      </c>
      <c r="H567" s="724">
        <f>+J527*G567+E567</f>
        <v>160484.61798539554</v>
      </c>
      <c r="I567" s="731">
        <f>+J528*G567+E567</f>
        <v>160484.61798539554</v>
      </c>
      <c r="J567" s="727">
        <f t="shared" si="50"/>
        <v>0</v>
      </c>
      <c r="K567" s="727"/>
      <c r="L567" s="732"/>
      <c r="M567" s="727">
        <f t="shared" si="51"/>
        <v>0</v>
      </c>
      <c r="N567" s="732"/>
      <c r="O567" s="727">
        <f t="shared" si="52"/>
        <v>0</v>
      </c>
      <c r="P567" s="727">
        <f t="shared" si="53"/>
        <v>0</v>
      </c>
      <c r="Q567" s="675"/>
    </row>
    <row r="568" spans="2:17">
      <c r="B568" s="332"/>
      <c r="C568" s="723">
        <f>IF(D526="","-",+C567+1)</f>
        <v>2052</v>
      </c>
      <c r="D568" s="674">
        <f t="shared" si="54"/>
        <v>813854.59644927876</v>
      </c>
      <c r="E568" s="730">
        <f t="shared" si="55"/>
        <v>74551.566086956518</v>
      </c>
      <c r="F568" s="730">
        <f t="shared" si="48"/>
        <v>739303.03036232223</v>
      </c>
      <c r="G568" s="674">
        <f t="shared" si="49"/>
        <v>776578.81340580049</v>
      </c>
      <c r="H568" s="724">
        <f>+J527*G568+E568</f>
        <v>152957.63533735712</v>
      </c>
      <c r="I568" s="731">
        <f>+J528*G568+E568</f>
        <v>152957.63533735712</v>
      </c>
      <c r="J568" s="727">
        <f t="shared" si="50"/>
        <v>0</v>
      </c>
      <c r="K568" s="727"/>
      <c r="L568" s="732"/>
      <c r="M568" s="727">
        <f t="shared" si="51"/>
        <v>0</v>
      </c>
      <c r="N568" s="732"/>
      <c r="O568" s="727">
        <f t="shared" si="52"/>
        <v>0</v>
      </c>
      <c r="P568" s="727">
        <f t="shared" si="53"/>
        <v>0</v>
      </c>
      <c r="Q568" s="675"/>
    </row>
    <row r="569" spans="2:17">
      <c r="B569" s="332"/>
      <c r="C569" s="723">
        <f>IF(D526="","-",+C568+1)</f>
        <v>2053</v>
      </c>
      <c r="D569" s="674">
        <f t="shared" si="54"/>
        <v>739303.03036232223</v>
      </c>
      <c r="E569" s="730">
        <f t="shared" si="55"/>
        <v>74551.566086956518</v>
      </c>
      <c r="F569" s="730">
        <f t="shared" si="48"/>
        <v>664751.4642753657</v>
      </c>
      <c r="G569" s="674">
        <f t="shared" si="49"/>
        <v>702027.24731884396</v>
      </c>
      <c r="H569" s="724">
        <f>+J527*G569+E569</f>
        <v>145430.6526893187</v>
      </c>
      <c r="I569" s="731">
        <f>+J528*G569+E569</f>
        <v>145430.6526893187</v>
      </c>
      <c r="J569" s="727">
        <f t="shared" si="50"/>
        <v>0</v>
      </c>
      <c r="K569" s="727"/>
      <c r="L569" s="732"/>
      <c r="M569" s="727">
        <f t="shared" si="51"/>
        <v>0</v>
      </c>
      <c r="N569" s="732"/>
      <c r="O569" s="727">
        <f t="shared" si="52"/>
        <v>0</v>
      </c>
      <c r="P569" s="727">
        <f t="shared" si="53"/>
        <v>0</v>
      </c>
      <c r="Q569" s="675"/>
    </row>
    <row r="570" spans="2:17">
      <c r="B570" s="332"/>
      <c r="C570" s="723">
        <f>IF(D526="","-",+C569+1)</f>
        <v>2054</v>
      </c>
      <c r="D570" s="674">
        <f t="shared" si="54"/>
        <v>664751.4642753657</v>
      </c>
      <c r="E570" s="730">
        <f t="shared" si="55"/>
        <v>74551.566086956518</v>
      </c>
      <c r="F570" s="730">
        <f t="shared" si="48"/>
        <v>590199.89818840916</v>
      </c>
      <c r="G570" s="674">
        <f t="shared" si="49"/>
        <v>627475.68123188743</v>
      </c>
      <c r="H570" s="724">
        <f>+J527*G570+E570</f>
        <v>137903.67004128025</v>
      </c>
      <c r="I570" s="731">
        <f>+J528*G570+E570</f>
        <v>137903.67004128025</v>
      </c>
      <c r="J570" s="727">
        <f t="shared" si="50"/>
        <v>0</v>
      </c>
      <c r="K570" s="727"/>
      <c r="L570" s="732"/>
      <c r="M570" s="727">
        <f t="shared" si="51"/>
        <v>0</v>
      </c>
      <c r="N570" s="732"/>
      <c r="O570" s="727">
        <f t="shared" si="52"/>
        <v>0</v>
      </c>
      <c r="P570" s="727">
        <f t="shared" si="53"/>
        <v>0</v>
      </c>
      <c r="Q570" s="675"/>
    </row>
    <row r="571" spans="2:17">
      <c r="B571" s="332"/>
      <c r="C571" s="723">
        <f>IF(D526="","-",+C570+1)</f>
        <v>2055</v>
      </c>
      <c r="D571" s="674">
        <f t="shared" si="54"/>
        <v>590199.89818840916</v>
      </c>
      <c r="E571" s="730">
        <f t="shared" si="55"/>
        <v>74551.566086956518</v>
      </c>
      <c r="F571" s="730">
        <f t="shared" si="48"/>
        <v>515648.33210145263</v>
      </c>
      <c r="G571" s="674">
        <f t="shared" si="49"/>
        <v>552924.1151449309</v>
      </c>
      <c r="H571" s="724">
        <f>+J527*G571+E571</f>
        <v>130376.68739324182</v>
      </c>
      <c r="I571" s="731">
        <f>+J528*G571+E571</f>
        <v>130376.68739324182</v>
      </c>
      <c r="J571" s="727">
        <f t="shared" si="50"/>
        <v>0</v>
      </c>
      <c r="K571" s="727"/>
      <c r="L571" s="732"/>
      <c r="M571" s="727">
        <f t="shared" si="51"/>
        <v>0</v>
      </c>
      <c r="N571" s="732"/>
      <c r="O571" s="727">
        <f t="shared" si="52"/>
        <v>0</v>
      </c>
      <c r="P571" s="727">
        <f t="shared" si="53"/>
        <v>0</v>
      </c>
      <c r="Q571" s="675"/>
    </row>
    <row r="572" spans="2:17">
      <c r="B572" s="332"/>
      <c r="C572" s="723">
        <f>IF(D526="","-",+C571+1)</f>
        <v>2056</v>
      </c>
      <c r="D572" s="674">
        <f t="shared" si="54"/>
        <v>515648.33210145263</v>
      </c>
      <c r="E572" s="730">
        <f t="shared" si="55"/>
        <v>74551.566086956518</v>
      </c>
      <c r="F572" s="730">
        <f t="shared" si="48"/>
        <v>441096.7660144961</v>
      </c>
      <c r="G572" s="674">
        <f t="shared" si="49"/>
        <v>478372.54905797436</v>
      </c>
      <c r="H572" s="724">
        <f>+J527*G572+E572</f>
        <v>122849.7047452034</v>
      </c>
      <c r="I572" s="731">
        <f>+J528*G572+E572</f>
        <v>122849.7047452034</v>
      </c>
      <c r="J572" s="727">
        <f t="shared" si="50"/>
        <v>0</v>
      </c>
      <c r="K572" s="727"/>
      <c r="L572" s="732"/>
      <c r="M572" s="727">
        <f t="shared" si="51"/>
        <v>0</v>
      </c>
      <c r="N572" s="732"/>
      <c r="O572" s="727">
        <f t="shared" si="52"/>
        <v>0</v>
      </c>
      <c r="P572" s="727">
        <f t="shared" si="53"/>
        <v>0</v>
      </c>
      <c r="Q572" s="675"/>
    </row>
    <row r="573" spans="2:17">
      <c r="B573" s="332"/>
      <c r="C573" s="723">
        <f>IF(D526="","-",+C572+1)</f>
        <v>2057</v>
      </c>
      <c r="D573" s="674">
        <f t="shared" si="54"/>
        <v>441096.7660144961</v>
      </c>
      <c r="E573" s="730">
        <f t="shared" si="55"/>
        <v>74551.566086956518</v>
      </c>
      <c r="F573" s="730">
        <f t="shared" si="48"/>
        <v>366545.19992753956</v>
      </c>
      <c r="G573" s="674">
        <f t="shared" si="49"/>
        <v>403820.98297101783</v>
      </c>
      <c r="H573" s="724">
        <f>+J527*G573+E573</f>
        <v>115322.72209716498</v>
      </c>
      <c r="I573" s="731">
        <f>+J528*G573+E573</f>
        <v>115322.72209716498</v>
      </c>
      <c r="J573" s="727">
        <f t="shared" si="50"/>
        <v>0</v>
      </c>
      <c r="K573" s="727"/>
      <c r="L573" s="732"/>
      <c r="M573" s="727">
        <f t="shared" si="51"/>
        <v>0</v>
      </c>
      <c r="N573" s="732"/>
      <c r="O573" s="727">
        <f t="shared" si="52"/>
        <v>0</v>
      </c>
      <c r="P573" s="727">
        <f t="shared" si="53"/>
        <v>0</v>
      </c>
      <c r="Q573" s="675"/>
    </row>
    <row r="574" spans="2:17">
      <c r="B574" s="332"/>
      <c r="C574" s="723">
        <f>IF(D526="","-",+C573+1)</f>
        <v>2058</v>
      </c>
      <c r="D574" s="674">
        <f t="shared" si="54"/>
        <v>366545.19992753956</v>
      </c>
      <c r="E574" s="730">
        <f t="shared" si="55"/>
        <v>74551.566086956518</v>
      </c>
      <c r="F574" s="730">
        <f t="shared" si="48"/>
        <v>291993.63384058303</v>
      </c>
      <c r="G574" s="674">
        <f t="shared" si="49"/>
        <v>329269.4168840613</v>
      </c>
      <c r="H574" s="724">
        <f>+J527*G574+E574</f>
        <v>107795.73944912656</v>
      </c>
      <c r="I574" s="731">
        <f>+J528*G574+E574</f>
        <v>107795.73944912656</v>
      </c>
      <c r="J574" s="727">
        <f t="shared" si="50"/>
        <v>0</v>
      </c>
      <c r="K574" s="727"/>
      <c r="L574" s="732"/>
      <c r="M574" s="727">
        <f t="shared" si="51"/>
        <v>0</v>
      </c>
      <c r="N574" s="732"/>
      <c r="O574" s="727">
        <f t="shared" si="52"/>
        <v>0</v>
      </c>
      <c r="P574" s="727">
        <f t="shared" si="53"/>
        <v>0</v>
      </c>
      <c r="Q574" s="675"/>
    </row>
    <row r="575" spans="2:17">
      <c r="B575" s="332"/>
      <c r="C575" s="723">
        <f>IF(D526="","-",+C574+1)</f>
        <v>2059</v>
      </c>
      <c r="D575" s="674">
        <f t="shared" si="54"/>
        <v>291993.63384058303</v>
      </c>
      <c r="E575" s="730">
        <f t="shared" si="55"/>
        <v>74551.566086956518</v>
      </c>
      <c r="F575" s="730">
        <f t="shared" si="48"/>
        <v>217442.0677536265</v>
      </c>
      <c r="G575" s="674">
        <f t="shared" si="49"/>
        <v>254717.85079710477</v>
      </c>
      <c r="H575" s="724">
        <f>+J527*G575+E575</f>
        <v>100268.75680108814</v>
      </c>
      <c r="I575" s="731">
        <f>+J528*G575+E575</f>
        <v>100268.75680108814</v>
      </c>
      <c r="J575" s="727">
        <f t="shared" si="50"/>
        <v>0</v>
      </c>
      <c r="K575" s="727"/>
      <c r="L575" s="732"/>
      <c r="M575" s="727">
        <f t="shared" si="51"/>
        <v>0</v>
      </c>
      <c r="N575" s="732"/>
      <c r="O575" s="727">
        <f t="shared" si="52"/>
        <v>0</v>
      </c>
      <c r="P575" s="727">
        <f t="shared" si="53"/>
        <v>0</v>
      </c>
      <c r="Q575" s="675"/>
    </row>
    <row r="576" spans="2:17">
      <c r="B576" s="332"/>
      <c r="C576" s="723">
        <f>IF(D526="","-",+C575+1)</f>
        <v>2060</v>
      </c>
      <c r="D576" s="674">
        <f t="shared" si="54"/>
        <v>217442.0677536265</v>
      </c>
      <c r="E576" s="730">
        <f t="shared" si="55"/>
        <v>74551.566086956518</v>
      </c>
      <c r="F576" s="730">
        <f t="shared" si="48"/>
        <v>142890.50166666997</v>
      </c>
      <c r="G576" s="674">
        <f t="shared" si="49"/>
        <v>180166.28471014823</v>
      </c>
      <c r="H576" s="724">
        <f>+J527*G576+E576</f>
        <v>92741.774153049715</v>
      </c>
      <c r="I576" s="731">
        <f>+J528*G576+E576</f>
        <v>92741.774153049715</v>
      </c>
      <c r="J576" s="727">
        <f t="shared" si="50"/>
        <v>0</v>
      </c>
      <c r="K576" s="727"/>
      <c r="L576" s="732"/>
      <c r="M576" s="727">
        <f t="shared" si="51"/>
        <v>0</v>
      </c>
      <c r="N576" s="732"/>
      <c r="O576" s="727">
        <f t="shared" si="52"/>
        <v>0</v>
      </c>
      <c r="P576" s="727">
        <f t="shared" si="53"/>
        <v>0</v>
      </c>
      <c r="Q576" s="675"/>
    </row>
    <row r="577" spans="2:17">
      <c r="B577" s="332"/>
      <c r="C577" s="723">
        <f>IF(D526="","-",+C576+1)</f>
        <v>2061</v>
      </c>
      <c r="D577" s="674">
        <f t="shared" si="54"/>
        <v>142890.50166666997</v>
      </c>
      <c r="E577" s="730">
        <f t="shared" si="55"/>
        <v>74551.566086956518</v>
      </c>
      <c r="F577" s="730">
        <f t="shared" si="48"/>
        <v>68338.935579713449</v>
      </c>
      <c r="G577" s="674">
        <f t="shared" si="49"/>
        <v>105614.7186231917</v>
      </c>
      <c r="H577" s="724">
        <f>+J527*G577+E577</f>
        <v>85214.791505011279</v>
      </c>
      <c r="I577" s="731">
        <f>+J528*G577+E577</f>
        <v>85214.791505011279</v>
      </c>
      <c r="J577" s="727">
        <f t="shared" si="50"/>
        <v>0</v>
      </c>
      <c r="K577" s="727"/>
      <c r="L577" s="732"/>
      <c r="M577" s="727">
        <f t="shared" si="51"/>
        <v>0</v>
      </c>
      <c r="N577" s="732"/>
      <c r="O577" s="727">
        <f t="shared" si="52"/>
        <v>0</v>
      </c>
      <c r="P577" s="727">
        <f t="shared" si="53"/>
        <v>0</v>
      </c>
      <c r="Q577" s="675"/>
    </row>
    <row r="578" spans="2:17">
      <c r="B578" s="332"/>
      <c r="C578" s="723">
        <f>IF(D526="","-",+C577+1)</f>
        <v>2062</v>
      </c>
      <c r="D578" s="674">
        <f t="shared" si="54"/>
        <v>68338.935579713449</v>
      </c>
      <c r="E578" s="730">
        <f t="shared" si="55"/>
        <v>68338.935579713449</v>
      </c>
      <c r="F578" s="730">
        <f t="shared" si="48"/>
        <v>0</v>
      </c>
      <c r="G578" s="674">
        <f t="shared" si="49"/>
        <v>34169.467789856724</v>
      </c>
      <c r="H578" s="724">
        <f>+J527*G578+E578</f>
        <v>71788.802626731223</v>
      </c>
      <c r="I578" s="731">
        <f>+J528*G578+E578</f>
        <v>71788.802626731223</v>
      </c>
      <c r="J578" s="727">
        <f t="shared" si="50"/>
        <v>0</v>
      </c>
      <c r="K578" s="727"/>
      <c r="L578" s="732"/>
      <c r="M578" s="727">
        <f t="shared" si="51"/>
        <v>0</v>
      </c>
      <c r="N578" s="732"/>
      <c r="O578" s="727">
        <f t="shared" si="52"/>
        <v>0</v>
      </c>
      <c r="P578" s="727">
        <f t="shared" si="53"/>
        <v>0</v>
      </c>
      <c r="Q578" s="675"/>
    </row>
    <row r="579" spans="2:17">
      <c r="B579" s="332"/>
      <c r="C579" s="723">
        <f>IF(D526="","-",+C578+1)</f>
        <v>2063</v>
      </c>
      <c r="D579" s="674">
        <f t="shared" si="54"/>
        <v>0</v>
      </c>
      <c r="E579" s="730">
        <f t="shared" si="55"/>
        <v>0</v>
      </c>
      <c r="F579" s="730">
        <f t="shared" si="48"/>
        <v>0</v>
      </c>
      <c r="G579" s="674">
        <f t="shared" si="49"/>
        <v>0</v>
      </c>
      <c r="H579" s="724">
        <f>+J527*G579+E579</f>
        <v>0</v>
      </c>
      <c r="I579" s="731">
        <f>+J528*G579+E579</f>
        <v>0</v>
      </c>
      <c r="J579" s="727">
        <f t="shared" si="50"/>
        <v>0</v>
      </c>
      <c r="K579" s="727"/>
      <c r="L579" s="732"/>
      <c r="M579" s="727">
        <f t="shared" si="51"/>
        <v>0</v>
      </c>
      <c r="N579" s="732"/>
      <c r="O579" s="727">
        <f t="shared" si="52"/>
        <v>0</v>
      </c>
      <c r="P579" s="727">
        <f t="shared" si="53"/>
        <v>0</v>
      </c>
      <c r="Q579" s="675"/>
    </row>
    <row r="580" spans="2:17">
      <c r="B580" s="332"/>
      <c r="C580" s="723">
        <f>IF(D526="","-",+C579+1)</f>
        <v>2064</v>
      </c>
      <c r="D580" s="674">
        <f t="shared" si="54"/>
        <v>0</v>
      </c>
      <c r="E580" s="730">
        <f t="shared" si="55"/>
        <v>0</v>
      </c>
      <c r="F580" s="730">
        <f t="shared" si="48"/>
        <v>0</v>
      </c>
      <c r="G580" s="674">
        <f t="shared" si="49"/>
        <v>0</v>
      </c>
      <c r="H580" s="724">
        <f>+J527*G580+E580</f>
        <v>0</v>
      </c>
      <c r="I580" s="731">
        <f>+J528*G580+E580</f>
        <v>0</v>
      </c>
      <c r="J580" s="727">
        <f t="shared" si="50"/>
        <v>0</v>
      </c>
      <c r="K580" s="727"/>
      <c r="L580" s="732"/>
      <c r="M580" s="727">
        <f t="shared" si="51"/>
        <v>0</v>
      </c>
      <c r="N580" s="732"/>
      <c r="O580" s="727">
        <f t="shared" si="52"/>
        <v>0</v>
      </c>
      <c r="P580" s="727">
        <f t="shared" si="53"/>
        <v>0</v>
      </c>
      <c r="Q580" s="675"/>
    </row>
    <row r="581" spans="2:17">
      <c r="B581" s="332"/>
      <c r="C581" s="723">
        <f>IF(D526="","-",+C580+1)</f>
        <v>2065</v>
      </c>
      <c r="D581" s="674">
        <f t="shared" si="54"/>
        <v>0</v>
      </c>
      <c r="E581" s="730">
        <f t="shared" si="55"/>
        <v>0</v>
      </c>
      <c r="F581" s="730">
        <f t="shared" si="48"/>
        <v>0</v>
      </c>
      <c r="G581" s="674">
        <f t="shared" si="49"/>
        <v>0</v>
      </c>
      <c r="H581" s="724">
        <f>+J527*G581+E581</f>
        <v>0</v>
      </c>
      <c r="I581" s="731">
        <f>+J528*G581+E581</f>
        <v>0</v>
      </c>
      <c r="J581" s="727">
        <f t="shared" si="50"/>
        <v>0</v>
      </c>
      <c r="K581" s="727"/>
      <c r="L581" s="732"/>
      <c r="M581" s="727">
        <f t="shared" si="51"/>
        <v>0</v>
      </c>
      <c r="N581" s="732"/>
      <c r="O581" s="727">
        <f t="shared" si="52"/>
        <v>0</v>
      </c>
      <c r="P581" s="727">
        <f t="shared" si="53"/>
        <v>0</v>
      </c>
      <c r="Q581" s="675"/>
    </row>
    <row r="582" spans="2:17">
      <c r="B582" s="332"/>
      <c r="C582" s="723">
        <f>IF(D526="","-",+C581+1)</f>
        <v>2066</v>
      </c>
      <c r="D582" s="674">
        <f t="shared" si="54"/>
        <v>0</v>
      </c>
      <c r="E582" s="730">
        <f t="shared" si="55"/>
        <v>0</v>
      </c>
      <c r="F582" s="730">
        <f t="shared" si="48"/>
        <v>0</v>
      </c>
      <c r="G582" s="674">
        <f t="shared" si="49"/>
        <v>0</v>
      </c>
      <c r="H582" s="724">
        <f>+J527*G582+E582</f>
        <v>0</v>
      </c>
      <c r="I582" s="731">
        <f>+J528*G582+E582</f>
        <v>0</v>
      </c>
      <c r="J582" s="727">
        <f t="shared" si="50"/>
        <v>0</v>
      </c>
      <c r="K582" s="727"/>
      <c r="L582" s="732"/>
      <c r="M582" s="727">
        <f t="shared" si="51"/>
        <v>0</v>
      </c>
      <c r="N582" s="732"/>
      <c r="O582" s="727">
        <f t="shared" si="52"/>
        <v>0</v>
      </c>
      <c r="P582" s="727">
        <f t="shared" si="53"/>
        <v>0</v>
      </c>
      <c r="Q582" s="675"/>
    </row>
    <row r="583" spans="2:17">
      <c r="B583" s="332"/>
      <c r="C583" s="723">
        <f>IF(D526="","-",+C582+1)</f>
        <v>2067</v>
      </c>
      <c r="D583" s="674">
        <f t="shared" si="54"/>
        <v>0</v>
      </c>
      <c r="E583" s="730">
        <f t="shared" si="55"/>
        <v>0</v>
      </c>
      <c r="F583" s="730">
        <f t="shared" si="48"/>
        <v>0</v>
      </c>
      <c r="G583" s="674">
        <f t="shared" si="49"/>
        <v>0</v>
      </c>
      <c r="H583" s="724">
        <f>+J527*G583+E583</f>
        <v>0</v>
      </c>
      <c r="I583" s="731">
        <f>+J528*G583+E583</f>
        <v>0</v>
      </c>
      <c r="J583" s="727">
        <f t="shared" si="50"/>
        <v>0</v>
      </c>
      <c r="K583" s="727"/>
      <c r="L583" s="732"/>
      <c r="M583" s="727">
        <f t="shared" si="51"/>
        <v>0</v>
      </c>
      <c r="N583" s="732"/>
      <c r="O583" s="727">
        <f t="shared" si="52"/>
        <v>0</v>
      </c>
      <c r="P583" s="727">
        <f t="shared" si="53"/>
        <v>0</v>
      </c>
      <c r="Q583" s="675"/>
    </row>
    <row r="584" spans="2:17">
      <c r="B584" s="332"/>
      <c r="C584" s="723">
        <f>IF(D526="","-",+C583+1)</f>
        <v>2068</v>
      </c>
      <c r="D584" s="674">
        <f t="shared" si="54"/>
        <v>0</v>
      </c>
      <c r="E584" s="730">
        <f t="shared" si="55"/>
        <v>0</v>
      </c>
      <c r="F584" s="730">
        <f t="shared" si="48"/>
        <v>0</v>
      </c>
      <c r="G584" s="674">
        <f t="shared" si="49"/>
        <v>0</v>
      </c>
      <c r="H584" s="724">
        <f>+J527*G584+E584</f>
        <v>0</v>
      </c>
      <c r="I584" s="731">
        <f>+J528*G584+E584</f>
        <v>0</v>
      </c>
      <c r="J584" s="727">
        <f t="shared" si="50"/>
        <v>0</v>
      </c>
      <c r="K584" s="727"/>
      <c r="L584" s="732"/>
      <c r="M584" s="727">
        <f t="shared" si="51"/>
        <v>0</v>
      </c>
      <c r="N584" s="732"/>
      <c r="O584" s="727">
        <f t="shared" si="52"/>
        <v>0</v>
      </c>
      <c r="P584" s="727">
        <f t="shared" si="53"/>
        <v>0</v>
      </c>
      <c r="Q584" s="675"/>
    </row>
    <row r="585" spans="2:17">
      <c r="B585" s="332"/>
      <c r="C585" s="723">
        <f>IF(D526="","-",+C584+1)</f>
        <v>2069</v>
      </c>
      <c r="D585" s="674">
        <f t="shared" si="54"/>
        <v>0</v>
      </c>
      <c r="E585" s="730">
        <f t="shared" si="55"/>
        <v>0</v>
      </c>
      <c r="F585" s="730">
        <f t="shared" si="48"/>
        <v>0</v>
      </c>
      <c r="G585" s="674">
        <f t="shared" si="49"/>
        <v>0</v>
      </c>
      <c r="H585" s="724">
        <f>+J527*G585+E585</f>
        <v>0</v>
      </c>
      <c r="I585" s="731">
        <f>+J528*G585+E585</f>
        <v>0</v>
      </c>
      <c r="J585" s="727">
        <f t="shared" si="50"/>
        <v>0</v>
      </c>
      <c r="K585" s="727"/>
      <c r="L585" s="732"/>
      <c r="M585" s="727">
        <f t="shared" si="51"/>
        <v>0</v>
      </c>
      <c r="N585" s="732"/>
      <c r="O585" s="727">
        <f t="shared" si="52"/>
        <v>0</v>
      </c>
      <c r="P585" s="727">
        <f t="shared" si="53"/>
        <v>0</v>
      </c>
      <c r="Q585" s="675"/>
    </row>
    <row r="586" spans="2:17">
      <c r="B586" s="332"/>
      <c r="C586" s="723">
        <f>IF(D526="","-",+C585+1)</f>
        <v>2070</v>
      </c>
      <c r="D586" s="674">
        <f t="shared" si="54"/>
        <v>0</v>
      </c>
      <c r="E586" s="730">
        <f t="shared" si="55"/>
        <v>0</v>
      </c>
      <c r="F586" s="730">
        <f t="shared" si="48"/>
        <v>0</v>
      </c>
      <c r="G586" s="674">
        <f t="shared" si="49"/>
        <v>0</v>
      </c>
      <c r="H586" s="724">
        <f>+J527*G586+E586</f>
        <v>0</v>
      </c>
      <c r="I586" s="731">
        <f>+J528*G586+E586</f>
        <v>0</v>
      </c>
      <c r="J586" s="727">
        <f t="shared" si="50"/>
        <v>0</v>
      </c>
      <c r="K586" s="727"/>
      <c r="L586" s="732"/>
      <c r="M586" s="727">
        <f t="shared" si="51"/>
        <v>0</v>
      </c>
      <c r="N586" s="732"/>
      <c r="O586" s="727">
        <f t="shared" si="52"/>
        <v>0</v>
      </c>
      <c r="P586" s="727">
        <f t="shared" si="53"/>
        <v>0</v>
      </c>
      <c r="Q586" s="675"/>
    </row>
    <row r="587" spans="2:17">
      <c r="B587" s="332"/>
      <c r="C587" s="723">
        <f>IF(D526="","-",+C586+1)</f>
        <v>2071</v>
      </c>
      <c r="D587" s="674">
        <f t="shared" si="54"/>
        <v>0</v>
      </c>
      <c r="E587" s="730">
        <f t="shared" si="55"/>
        <v>0</v>
      </c>
      <c r="F587" s="730">
        <f t="shared" si="48"/>
        <v>0</v>
      </c>
      <c r="G587" s="674">
        <f t="shared" si="49"/>
        <v>0</v>
      </c>
      <c r="H587" s="724">
        <f>+J527*G587+E587</f>
        <v>0</v>
      </c>
      <c r="I587" s="731">
        <f>+J528*G587+E587</f>
        <v>0</v>
      </c>
      <c r="J587" s="727">
        <f t="shared" si="50"/>
        <v>0</v>
      </c>
      <c r="K587" s="727"/>
      <c r="L587" s="732"/>
      <c r="M587" s="727">
        <f t="shared" si="51"/>
        <v>0</v>
      </c>
      <c r="N587" s="732"/>
      <c r="O587" s="727">
        <f t="shared" si="52"/>
        <v>0</v>
      </c>
      <c r="P587" s="727">
        <f t="shared" si="53"/>
        <v>0</v>
      </c>
      <c r="Q587" s="675"/>
    </row>
    <row r="588" spans="2:17">
      <c r="B588" s="332"/>
      <c r="C588" s="723">
        <f>IF(D526="","-",+C587+1)</f>
        <v>2072</v>
      </c>
      <c r="D588" s="674">
        <f t="shared" si="54"/>
        <v>0</v>
      </c>
      <c r="E588" s="730">
        <f t="shared" si="55"/>
        <v>0</v>
      </c>
      <c r="F588" s="730">
        <f t="shared" si="48"/>
        <v>0</v>
      </c>
      <c r="G588" s="674">
        <f t="shared" si="49"/>
        <v>0</v>
      </c>
      <c r="H588" s="724">
        <f>+J527*G588+E588</f>
        <v>0</v>
      </c>
      <c r="I588" s="731">
        <f>+J528*G588+E588</f>
        <v>0</v>
      </c>
      <c r="J588" s="727">
        <f t="shared" si="50"/>
        <v>0</v>
      </c>
      <c r="K588" s="727"/>
      <c r="L588" s="732"/>
      <c r="M588" s="727">
        <f t="shared" si="51"/>
        <v>0</v>
      </c>
      <c r="N588" s="732"/>
      <c r="O588" s="727">
        <f t="shared" si="52"/>
        <v>0</v>
      </c>
      <c r="P588" s="727">
        <f t="shared" si="53"/>
        <v>0</v>
      </c>
      <c r="Q588" s="675"/>
    </row>
    <row r="589" spans="2:17">
      <c r="B589" s="332"/>
      <c r="C589" s="723">
        <f>IF(D526="","-",+C588+1)</f>
        <v>2073</v>
      </c>
      <c r="D589" s="674">
        <f t="shared" si="54"/>
        <v>0</v>
      </c>
      <c r="E589" s="730">
        <f t="shared" si="55"/>
        <v>0</v>
      </c>
      <c r="F589" s="730">
        <f t="shared" si="48"/>
        <v>0</v>
      </c>
      <c r="G589" s="674">
        <f t="shared" si="49"/>
        <v>0</v>
      </c>
      <c r="H589" s="724">
        <f>+J527*G589+E589</f>
        <v>0</v>
      </c>
      <c r="I589" s="731">
        <f>+J528*G589+E589</f>
        <v>0</v>
      </c>
      <c r="J589" s="727">
        <f t="shared" si="50"/>
        <v>0</v>
      </c>
      <c r="K589" s="727"/>
      <c r="L589" s="732"/>
      <c r="M589" s="727">
        <f t="shared" si="51"/>
        <v>0</v>
      </c>
      <c r="N589" s="732"/>
      <c r="O589" s="727">
        <f t="shared" si="52"/>
        <v>0</v>
      </c>
      <c r="P589" s="727">
        <f t="shared" si="53"/>
        <v>0</v>
      </c>
      <c r="Q589" s="675"/>
    </row>
    <row r="590" spans="2:17">
      <c r="B590" s="332"/>
      <c r="C590" s="723">
        <f>IF(D526="","-",+C589+1)</f>
        <v>2074</v>
      </c>
      <c r="D590" s="674">
        <f t="shared" si="54"/>
        <v>0</v>
      </c>
      <c r="E590" s="730">
        <f t="shared" si="55"/>
        <v>0</v>
      </c>
      <c r="F590" s="730">
        <f t="shared" si="48"/>
        <v>0</v>
      </c>
      <c r="G590" s="674">
        <f t="shared" si="49"/>
        <v>0</v>
      </c>
      <c r="H590" s="724">
        <f>+J527*G590+E590</f>
        <v>0</v>
      </c>
      <c r="I590" s="731">
        <f>+J528*G590+E590</f>
        <v>0</v>
      </c>
      <c r="J590" s="727">
        <f t="shared" si="50"/>
        <v>0</v>
      </c>
      <c r="K590" s="727"/>
      <c r="L590" s="732"/>
      <c r="M590" s="727">
        <f t="shared" si="51"/>
        <v>0</v>
      </c>
      <c r="N590" s="732"/>
      <c r="O590" s="727">
        <f t="shared" si="52"/>
        <v>0</v>
      </c>
      <c r="P590" s="727">
        <f t="shared" si="53"/>
        <v>0</v>
      </c>
      <c r="Q590" s="675"/>
    </row>
    <row r="591" spans="2:17" ht="13.5" thickBot="1">
      <c r="B591" s="332"/>
      <c r="C591" s="735">
        <f>IF(D526="","-",+C590+1)</f>
        <v>2075</v>
      </c>
      <c r="D591" s="736">
        <f t="shared" si="54"/>
        <v>0</v>
      </c>
      <c r="E591" s="737">
        <f t="shared" si="55"/>
        <v>0</v>
      </c>
      <c r="F591" s="737">
        <f t="shared" si="48"/>
        <v>0</v>
      </c>
      <c r="G591" s="736">
        <f t="shared" si="49"/>
        <v>0</v>
      </c>
      <c r="H591" s="738">
        <f>+J527*G591+E591</f>
        <v>0</v>
      </c>
      <c r="I591" s="738">
        <f>+J528*G591+E591</f>
        <v>0</v>
      </c>
      <c r="J591" s="739">
        <f t="shared" si="50"/>
        <v>0</v>
      </c>
      <c r="K591" s="727"/>
      <c r="L591" s="740"/>
      <c r="M591" s="739">
        <f t="shared" si="51"/>
        <v>0</v>
      </c>
      <c r="N591" s="740"/>
      <c r="O591" s="739">
        <f t="shared" si="52"/>
        <v>0</v>
      </c>
      <c r="P591" s="739">
        <f t="shared" si="53"/>
        <v>0</v>
      </c>
      <c r="Q591" s="675"/>
    </row>
    <row r="592" spans="2:17">
      <c r="B592" s="332"/>
      <c r="C592" s="674" t="s">
        <v>288</v>
      </c>
      <c r="D592" s="670"/>
      <c r="E592" s="670">
        <f>SUM(E532:E591)</f>
        <v>3429372.04</v>
      </c>
      <c r="F592" s="670"/>
      <c r="G592" s="670"/>
      <c r="H592" s="670">
        <f>SUM(H532:H591)</f>
        <v>11710307.449950287</v>
      </c>
      <c r="I592" s="670">
        <f>SUM(I532:I591)</f>
        <v>11710307.449950287</v>
      </c>
      <c r="J592" s="670">
        <f>SUM(J532:J591)</f>
        <v>0</v>
      </c>
      <c r="K592" s="670"/>
      <c r="L592" s="670"/>
      <c r="M592" s="670"/>
      <c r="N592" s="670"/>
      <c r="O592" s="670"/>
      <c r="Q592" s="670"/>
    </row>
    <row r="593" spans="1:17">
      <c r="B593" s="332"/>
      <c r="D593" s="564"/>
      <c r="E593" s="541"/>
      <c r="F593" s="541"/>
      <c r="G593" s="541"/>
      <c r="H593" s="541"/>
      <c r="I593" s="647"/>
      <c r="J593" s="647"/>
      <c r="K593" s="670"/>
      <c r="L593" s="647"/>
      <c r="M593" s="647"/>
      <c r="N593" s="647"/>
      <c r="O593" s="647"/>
      <c r="Q593" s="670"/>
    </row>
    <row r="594" spans="1:17">
      <c r="B594" s="332"/>
      <c r="C594" s="541" t="s">
        <v>601</v>
      </c>
      <c r="D594" s="564"/>
      <c r="E594" s="541"/>
      <c r="F594" s="541"/>
      <c r="G594" s="541"/>
      <c r="H594" s="541"/>
      <c r="I594" s="647"/>
      <c r="J594" s="647"/>
      <c r="K594" s="670"/>
      <c r="L594" s="647"/>
      <c r="M594" s="647"/>
      <c r="N594" s="647"/>
      <c r="O594" s="647"/>
      <c r="Q594" s="670"/>
    </row>
    <row r="595" spans="1:17">
      <c r="B595" s="332"/>
      <c r="D595" s="564"/>
      <c r="E595" s="541"/>
      <c r="F595" s="541"/>
      <c r="G595" s="541"/>
      <c r="H595" s="541"/>
      <c r="I595" s="647"/>
      <c r="J595" s="647"/>
      <c r="K595" s="670"/>
      <c r="L595" s="647"/>
      <c r="M595" s="647"/>
      <c r="N595" s="647"/>
      <c r="O595" s="647"/>
      <c r="Q595" s="670"/>
    </row>
    <row r="596" spans="1:17">
      <c r="B596" s="332"/>
      <c r="C596" s="577" t="s">
        <v>602</v>
      </c>
      <c r="D596" s="674"/>
      <c r="E596" s="674"/>
      <c r="F596" s="674"/>
      <c r="G596" s="674"/>
      <c r="H596" s="670"/>
      <c r="I596" s="670"/>
      <c r="J596" s="675"/>
      <c r="K596" s="675"/>
      <c r="L596" s="675"/>
      <c r="M596" s="675"/>
      <c r="N596" s="675"/>
      <c r="O596" s="675"/>
      <c r="Q596" s="675"/>
    </row>
    <row r="597" spans="1:17">
      <c r="B597" s="332"/>
      <c r="C597" s="577" t="s">
        <v>476</v>
      </c>
      <c r="D597" s="674"/>
      <c r="E597" s="674"/>
      <c r="F597" s="674"/>
      <c r="G597" s="674"/>
      <c r="H597" s="670"/>
      <c r="I597" s="670"/>
      <c r="J597" s="675"/>
      <c r="K597" s="675"/>
      <c r="L597" s="675"/>
      <c r="M597" s="675"/>
      <c r="N597" s="675"/>
      <c r="O597" s="675"/>
      <c r="Q597" s="675"/>
    </row>
    <row r="598" spans="1:17">
      <c r="B598" s="332"/>
      <c r="C598" s="577" t="s">
        <v>289</v>
      </c>
      <c r="D598" s="674"/>
      <c r="E598" s="674"/>
      <c r="F598" s="674"/>
      <c r="G598" s="674"/>
      <c r="H598" s="670"/>
      <c r="I598" s="670"/>
      <c r="J598" s="675"/>
      <c r="K598" s="675"/>
      <c r="L598" s="675"/>
      <c r="M598" s="675"/>
      <c r="N598" s="675"/>
      <c r="O598" s="675"/>
      <c r="Q598" s="675"/>
    </row>
    <row r="599" spans="1:17" ht="20.25">
      <c r="A599" s="676" t="s">
        <v>770</v>
      </c>
      <c r="B599" s="541"/>
      <c r="C599" s="656"/>
      <c r="D599" s="564"/>
      <c r="E599" s="541"/>
      <c r="F599" s="646"/>
      <c r="G599" s="646"/>
      <c r="H599" s="541"/>
      <c r="I599" s="647"/>
      <c r="L599" s="677"/>
      <c r="M599" s="677"/>
      <c r="N599" s="677"/>
      <c r="O599" s="592" t="str">
        <f>"Page "&amp;SUM(Q$3:Q599)&amp;" of "</f>
        <v xml:space="preserve">Page 8 of </v>
      </c>
      <c r="P599" s="593">
        <f>COUNT(Q$8:Q$58123)</f>
        <v>16</v>
      </c>
      <c r="Q599" s="761">
        <v>1</v>
      </c>
    </row>
    <row r="600" spans="1:17">
      <c r="B600" s="541"/>
      <c r="C600" s="541"/>
      <c r="D600" s="564"/>
      <c r="E600" s="541"/>
      <c r="F600" s="541"/>
      <c r="G600" s="541"/>
      <c r="H600" s="541"/>
      <c r="I600" s="647"/>
      <c r="J600" s="541"/>
      <c r="K600" s="589"/>
      <c r="Q600" s="589"/>
    </row>
    <row r="601" spans="1:17" ht="18">
      <c r="B601" s="596" t="s">
        <v>174</v>
      </c>
      <c r="C601" s="678" t="s">
        <v>290</v>
      </c>
      <c r="D601" s="564"/>
      <c r="E601" s="541"/>
      <c r="F601" s="541"/>
      <c r="G601" s="541"/>
      <c r="H601" s="541"/>
      <c r="I601" s="647"/>
      <c r="J601" s="647"/>
      <c r="K601" s="670"/>
      <c r="L601" s="647"/>
      <c r="M601" s="647"/>
      <c r="N601" s="647"/>
      <c r="O601" s="647"/>
      <c r="Q601" s="670"/>
    </row>
    <row r="602" spans="1:17" ht="18.75">
      <c r="B602" s="596"/>
      <c r="C602" s="595"/>
      <c r="D602" s="564"/>
      <c r="E602" s="541"/>
      <c r="F602" s="541"/>
      <c r="G602" s="541"/>
      <c r="H602" s="541"/>
      <c r="I602" s="647"/>
      <c r="J602" s="647"/>
      <c r="K602" s="670"/>
      <c r="L602" s="647"/>
      <c r="M602" s="647"/>
      <c r="N602" s="647"/>
      <c r="O602" s="647"/>
      <c r="Q602" s="670"/>
    </row>
    <row r="603" spans="1:17" ht="18.75">
      <c r="B603" s="596"/>
      <c r="C603" s="595" t="s">
        <v>291</v>
      </c>
      <c r="D603" s="564"/>
      <c r="E603" s="541"/>
      <c r="F603" s="541"/>
      <c r="G603" s="541"/>
      <c r="H603" s="541"/>
      <c r="I603" s="647"/>
      <c r="J603" s="647"/>
      <c r="K603" s="670"/>
      <c r="L603" s="647"/>
      <c r="M603" s="647"/>
      <c r="N603" s="647"/>
      <c r="O603" s="647"/>
      <c r="Q603" s="670"/>
    </row>
    <row r="604" spans="1:17" ht="15.75" thickBot="1">
      <c r="B604" s="332"/>
      <c r="C604" s="398"/>
      <c r="D604" s="564"/>
      <c r="E604" s="541"/>
      <c r="F604" s="541"/>
      <c r="G604" s="541"/>
      <c r="H604" s="541"/>
      <c r="I604" s="647"/>
      <c r="J604" s="647"/>
      <c r="K604" s="670"/>
      <c r="L604" s="647"/>
      <c r="M604" s="647"/>
      <c r="N604" s="647"/>
      <c r="O604" s="647"/>
      <c r="Q604" s="670"/>
    </row>
    <row r="605" spans="1:17" ht="15.75">
      <c r="B605" s="332"/>
      <c r="C605" s="597" t="s">
        <v>292</v>
      </c>
      <c r="D605" s="564"/>
      <c r="E605" s="541"/>
      <c r="F605" s="541"/>
      <c r="G605" s="541"/>
      <c r="H605" s="870"/>
      <c r="I605" s="541" t="s">
        <v>271</v>
      </c>
      <c r="J605" s="541"/>
      <c r="K605" s="589"/>
      <c r="L605" s="762">
        <f>+J611</f>
        <v>2020</v>
      </c>
      <c r="M605" s="744" t="s">
        <v>254</v>
      </c>
      <c r="N605" s="744" t="s">
        <v>255</v>
      </c>
      <c r="O605" s="745" t="s">
        <v>256</v>
      </c>
      <c r="Q605" s="589"/>
    </row>
    <row r="606" spans="1:17" ht="15.75">
      <c r="B606" s="332"/>
      <c r="C606" s="597"/>
      <c r="D606" s="564"/>
      <c r="E606" s="541"/>
      <c r="F606" s="541"/>
      <c r="H606" s="541"/>
      <c r="I606" s="682"/>
      <c r="J606" s="682"/>
      <c r="K606" s="683"/>
      <c r="L606" s="763" t="s">
        <v>455</v>
      </c>
      <c r="M606" s="764">
        <f>VLOOKUP(J611,C618:P677,10)</f>
        <v>3435592.6853049258</v>
      </c>
      <c r="N606" s="764">
        <f>VLOOKUP(J611,C618:P677,12)</f>
        <v>3435592.6853049258</v>
      </c>
      <c r="O606" s="765">
        <f>+N606-M606</f>
        <v>0</v>
      </c>
      <c r="Q606" s="683"/>
    </row>
    <row r="607" spans="1:17">
      <c r="B607" s="332"/>
      <c r="C607" s="685" t="s">
        <v>293</v>
      </c>
      <c r="D607" s="1544" t="s">
        <v>980</v>
      </c>
      <c r="E607" s="1544"/>
      <c r="F607" s="1544"/>
      <c r="G607" s="1544"/>
      <c r="H607" s="1544"/>
      <c r="I607" s="647"/>
      <c r="J607" s="647"/>
      <c r="K607" s="670"/>
      <c r="L607" s="763" t="s">
        <v>456</v>
      </c>
      <c r="M607" s="766">
        <f>VLOOKUP(J611,C618:P677,6)</f>
        <v>3453600.6365508027</v>
      </c>
      <c r="N607" s="766">
        <f>VLOOKUP(J611,C618:P677,7)</f>
        <v>3453600.6365508027</v>
      </c>
      <c r="O607" s="767">
        <f>+N607-M607</f>
        <v>0</v>
      </c>
      <c r="Q607" s="670"/>
    </row>
    <row r="608" spans="1:17" ht="13.5" thickBot="1">
      <c r="B608" s="332"/>
      <c r="C608" s="687"/>
      <c r="D608" s="688"/>
      <c r="E608" s="672"/>
      <c r="F608" s="672"/>
      <c r="G608" s="672"/>
      <c r="H608" s="689"/>
      <c r="I608" s="647"/>
      <c r="J608" s="647"/>
      <c r="K608" s="670"/>
      <c r="L608" s="708" t="s">
        <v>457</v>
      </c>
      <c r="M608" s="768">
        <f>+M607-M606</f>
        <v>18007.95124587696</v>
      </c>
      <c r="N608" s="768">
        <f>+N607-N606</f>
        <v>18007.95124587696</v>
      </c>
      <c r="O608" s="769">
        <f>+O607-O606</f>
        <v>0</v>
      </c>
      <c r="Q608" s="670"/>
    </row>
    <row r="609" spans="1:17" ht="13.5" thickBot="1">
      <c r="B609" s="332"/>
      <c r="C609" s="690"/>
      <c r="D609" s="691"/>
      <c r="E609" s="689"/>
      <c r="F609" s="689"/>
      <c r="G609" s="689"/>
      <c r="H609" s="689"/>
      <c r="I609" s="689"/>
      <c r="J609" s="689"/>
      <c r="K609" s="692"/>
      <c r="L609" s="689"/>
      <c r="M609" s="689"/>
      <c r="N609" s="689"/>
      <c r="O609" s="689"/>
      <c r="P609" s="577"/>
      <c r="Q609" s="692"/>
    </row>
    <row r="610" spans="1:17" ht="13.5" thickBot="1">
      <c r="B610" s="332"/>
      <c r="C610" s="694" t="s">
        <v>294</v>
      </c>
      <c r="D610" s="695"/>
      <c r="E610" s="695"/>
      <c r="F610" s="695"/>
      <c r="G610" s="695"/>
      <c r="H610" s="695"/>
      <c r="I610" s="695"/>
      <c r="J610" s="695"/>
      <c r="K610" s="697"/>
      <c r="P610" s="698"/>
      <c r="Q610" s="697"/>
    </row>
    <row r="611" spans="1:17" ht="15">
      <c r="A611" s="693"/>
      <c r="B611" s="332"/>
      <c r="C611" s="700" t="s">
        <v>272</v>
      </c>
      <c r="D611" s="1256">
        <v>30073762.07</v>
      </c>
      <c r="E611" s="656" t="s">
        <v>273</v>
      </c>
      <c r="H611" s="701"/>
      <c r="I611" s="701"/>
      <c r="J611" s="702">
        <f>$J$95</f>
        <v>2020</v>
      </c>
      <c r="K611" s="587"/>
      <c r="L611" s="1545" t="s">
        <v>274</v>
      </c>
      <c r="M611" s="1545"/>
      <c r="N611" s="1545"/>
      <c r="O611" s="1545"/>
      <c r="P611" s="589"/>
      <c r="Q611" s="587"/>
    </row>
    <row r="612" spans="1:17">
      <c r="A612" s="693"/>
      <c r="B612" s="332"/>
      <c r="C612" s="700" t="s">
        <v>275</v>
      </c>
      <c r="D612" s="872">
        <v>2016</v>
      </c>
      <c r="E612" s="700" t="s">
        <v>276</v>
      </c>
      <c r="F612" s="701"/>
      <c r="G612" s="701"/>
      <c r="I612" s="332"/>
      <c r="J612" s="875">
        <v>0</v>
      </c>
      <c r="K612" s="703"/>
      <c r="L612" s="670" t="s">
        <v>475</v>
      </c>
      <c r="P612" s="589"/>
      <c r="Q612" s="703"/>
    </row>
    <row r="613" spans="1:17">
      <c r="A613" s="693"/>
      <c r="B613" s="332"/>
      <c r="C613" s="700" t="s">
        <v>277</v>
      </c>
      <c r="D613" s="1257">
        <v>11</v>
      </c>
      <c r="E613" s="700" t="s">
        <v>278</v>
      </c>
      <c r="F613" s="701"/>
      <c r="G613" s="701"/>
      <c r="I613" s="332"/>
      <c r="J613" s="704">
        <f>$F$70</f>
        <v>0.1009634410531228</v>
      </c>
      <c r="K613" s="705"/>
      <c r="L613" s="541" t="str">
        <f>"          INPUT TRUE-UP ARR (WITH &amp; WITHOUT INCENTIVES) FROM EACH PRIOR YEAR"</f>
        <v xml:space="preserve">          INPUT TRUE-UP ARR (WITH &amp; WITHOUT INCENTIVES) FROM EACH PRIOR YEAR</v>
      </c>
      <c r="P613" s="589"/>
      <c r="Q613" s="705"/>
    </row>
    <row r="614" spans="1:17">
      <c r="A614" s="693"/>
      <c r="B614" s="332"/>
      <c r="C614" s="700" t="s">
        <v>279</v>
      </c>
      <c r="D614" s="706">
        <f>H79</f>
        <v>46</v>
      </c>
      <c r="E614" s="700" t="s">
        <v>280</v>
      </c>
      <c r="F614" s="701"/>
      <c r="G614" s="701"/>
      <c r="I614" s="332"/>
      <c r="J614" s="704">
        <f>IF(H605="",J613,$F$69)</f>
        <v>0.1009634410531228</v>
      </c>
      <c r="K614" s="707"/>
      <c r="L614" s="541" t="s">
        <v>362</v>
      </c>
      <c r="M614" s="707"/>
      <c r="N614" s="707"/>
      <c r="O614" s="707"/>
      <c r="P614" s="589"/>
      <c r="Q614" s="707"/>
    </row>
    <row r="615" spans="1:17" ht="13.5" thickBot="1">
      <c r="A615" s="693"/>
      <c r="B615" s="332"/>
      <c r="C615" s="700" t="s">
        <v>281</v>
      </c>
      <c r="D615" s="874" t="s">
        <v>974</v>
      </c>
      <c r="E615" s="708" t="s">
        <v>282</v>
      </c>
      <c r="F615" s="709"/>
      <c r="G615" s="709"/>
      <c r="H615" s="710"/>
      <c r="I615" s="710"/>
      <c r="J615" s="686">
        <f>IF(D611=0,0,D611/D614)</f>
        <v>653777.43630434782</v>
      </c>
      <c r="K615" s="670"/>
      <c r="L615" s="670" t="s">
        <v>363</v>
      </c>
      <c r="M615" s="670"/>
      <c r="N615" s="670"/>
      <c r="O615" s="670"/>
      <c r="P615" s="589"/>
      <c r="Q615" s="670"/>
    </row>
    <row r="616" spans="1:17" ht="38.25">
      <c r="A616" s="528"/>
      <c r="B616" s="528"/>
      <c r="C616" s="711" t="s">
        <v>272</v>
      </c>
      <c r="D616" s="712" t="s">
        <v>283</v>
      </c>
      <c r="E616" s="713" t="s">
        <v>284</v>
      </c>
      <c r="F616" s="712" t="s">
        <v>285</v>
      </c>
      <c r="G616" s="712" t="s">
        <v>458</v>
      </c>
      <c r="H616" s="713" t="s">
        <v>356</v>
      </c>
      <c r="I616" s="714" t="s">
        <v>356</v>
      </c>
      <c r="J616" s="711" t="s">
        <v>295</v>
      </c>
      <c r="K616" s="715"/>
      <c r="L616" s="713" t="s">
        <v>358</v>
      </c>
      <c r="M616" s="713" t="s">
        <v>364</v>
      </c>
      <c r="N616" s="713" t="s">
        <v>358</v>
      </c>
      <c r="O616" s="713" t="s">
        <v>366</v>
      </c>
      <c r="P616" s="713" t="s">
        <v>286</v>
      </c>
      <c r="Q616" s="716"/>
    </row>
    <row r="617" spans="1:17" ht="13.5" thickBot="1">
      <c r="B617" s="332"/>
      <c r="C617" s="717" t="s">
        <v>177</v>
      </c>
      <c r="D617" s="718" t="s">
        <v>178</v>
      </c>
      <c r="E617" s="717" t="s">
        <v>37</v>
      </c>
      <c r="F617" s="718" t="s">
        <v>178</v>
      </c>
      <c r="G617" s="718" t="s">
        <v>178</v>
      </c>
      <c r="H617" s="719" t="s">
        <v>298</v>
      </c>
      <c r="I617" s="720" t="s">
        <v>300</v>
      </c>
      <c r="J617" s="721" t="s">
        <v>389</v>
      </c>
      <c r="K617" s="722"/>
      <c r="L617" s="719" t="s">
        <v>287</v>
      </c>
      <c r="M617" s="719" t="s">
        <v>287</v>
      </c>
      <c r="N617" s="719" t="s">
        <v>467</v>
      </c>
      <c r="O617" s="719" t="s">
        <v>467</v>
      </c>
      <c r="P617" s="719" t="s">
        <v>467</v>
      </c>
      <c r="Q617" s="587"/>
    </row>
    <row r="618" spans="1:17">
      <c r="B618" s="332"/>
      <c r="C618" s="723">
        <f>IF(D612= "","-",D612)</f>
        <v>2016</v>
      </c>
      <c r="D618" s="674">
        <f>+D611</f>
        <v>30073762.07</v>
      </c>
      <c r="E618" s="724">
        <f>+J615/12*(12-D613)</f>
        <v>54481.453025362316</v>
      </c>
      <c r="F618" s="770">
        <f t="shared" ref="F618:F677" si="56">+D618-E618</f>
        <v>30019280.616974637</v>
      </c>
      <c r="G618" s="674">
        <f t="shared" ref="G618:G677" si="57">+(D618+F618)/2</f>
        <v>30046521.343487319</v>
      </c>
      <c r="H618" s="725">
        <f>+J613*G618+E618</f>
        <v>3088081.6395399403</v>
      </c>
      <c r="I618" s="726">
        <f>+J614*G618+E618</f>
        <v>3088081.6395399403</v>
      </c>
      <c r="J618" s="727">
        <f t="shared" ref="J618:J677" si="58">+I618-H618</f>
        <v>0</v>
      </c>
      <c r="K618" s="727"/>
      <c r="L618" s="728">
        <v>13022465</v>
      </c>
      <c r="M618" s="771">
        <f t="shared" ref="M618:M677" si="59">IF(L618&lt;&gt;0,+H618-L618,0)</f>
        <v>-9934383.3604600597</v>
      </c>
      <c r="N618" s="728">
        <v>13022465</v>
      </c>
      <c r="O618" s="771">
        <f t="shared" ref="O618:O677" si="60">IF(N618&lt;&gt;0,+I618-N618,0)</f>
        <v>-9934383.3604600597</v>
      </c>
      <c r="P618" s="771">
        <f t="shared" ref="P618:P677" si="61">+O618-M618</f>
        <v>0</v>
      </c>
      <c r="Q618" s="675"/>
    </row>
    <row r="619" spans="1:17">
      <c r="B619" s="332"/>
      <c r="C619" s="723">
        <f>IF(D612="","-",+C618+1)</f>
        <v>2017</v>
      </c>
      <c r="D619" s="674">
        <f t="shared" ref="D619:D677" si="62">F618</f>
        <v>30019280.616974637</v>
      </c>
      <c r="E619" s="730">
        <f>IF(D619&gt;$J$615,$J$615,D619)</f>
        <v>653777.43630434782</v>
      </c>
      <c r="F619" s="730">
        <f t="shared" si="56"/>
        <v>29365503.180670287</v>
      </c>
      <c r="G619" s="674">
        <f t="shared" si="57"/>
        <v>29692391.898822464</v>
      </c>
      <c r="H619" s="724">
        <f>+J613*G619+E619</f>
        <v>3651623.4955073306</v>
      </c>
      <c r="I619" s="731">
        <f>+J614*G619+E619</f>
        <v>3651623.4955073306</v>
      </c>
      <c r="J619" s="727">
        <f t="shared" si="58"/>
        <v>0</v>
      </c>
      <c r="K619" s="727"/>
      <c r="L619" s="732">
        <v>3514742</v>
      </c>
      <c r="M619" s="727">
        <f t="shared" si="59"/>
        <v>136881.49550733063</v>
      </c>
      <c r="N619" s="732">
        <v>3514742</v>
      </c>
      <c r="O619" s="727">
        <f t="shared" si="60"/>
        <v>136881.49550733063</v>
      </c>
      <c r="P619" s="727">
        <f t="shared" si="61"/>
        <v>0</v>
      </c>
      <c r="Q619" s="675"/>
    </row>
    <row r="620" spans="1:17">
      <c r="B620" s="332"/>
      <c r="C620" s="723">
        <f>IF(D612="","-",+C619+1)</f>
        <v>2018</v>
      </c>
      <c r="D620" s="1453">
        <f t="shared" si="62"/>
        <v>29365503.180670287</v>
      </c>
      <c r="E620" s="730">
        <f t="shared" ref="E620:E677" si="63">IF(D620&gt;$J$615,$J$615,D620)</f>
        <v>653777.43630434782</v>
      </c>
      <c r="F620" s="730">
        <f t="shared" si="56"/>
        <v>28711725.744365938</v>
      </c>
      <c r="G620" s="674">
        <f t="shared" si="57"/>
        <v>29038614.462518111</v>
      </c>
      <c r="H620" s="724">
        <f>+J613*G620+E620</f>
        <v>3585615.8758551544</v>
      </c>
      <c r="I620" s="731">
        <f>+J614*G620+E620</f>
        <v>3585615.8758551544</v>
      </c>
      <c r="J620" s="727">
        <f t="shared" si="58"/>
        <v>0</v>
      </c>
      <c r="K620" s="727"/>
      <c r="L620" s="732">
        <v>3974755</v>
      </c>
      <c r="M620" s="727">
        <f t="shared" si="59"/>
        <v>-389139.12414484564</v>
      </c>
      <c r="N620" s="732">
        <v>3974755</v>
      </c>
      <c r="O620" s="727">
        <f t="shared" si="60"/>
        <v>-389139.12414484564</v>
      </c>
      <c r="P620" s="727">
        <f t="shared" si="61"/>
        <v>0</v>
      </c>
      <c r="Q620" s="675"/>
    </row>
    <row r="621" spans="1:17">
      <c r="B621" s="332"/>
      <c r="C621" s="723">
        <f>IF(D612="","-",+C620+1)</f>
        <v>2019</v>
      </c>
      <c r="D621" s="1270">
        <f t="shared" si="62"/>
        <v>28711725.744365938</v>
      </c>
      <c r="E621" s="730">
        <f t="shared" si="63"/>
        <v>653777.43630434782</v>
      </c>
      <c r="F621" s="730">
        <f t="shared" si="56"/>
        <v>28057948.308061589</v>
      </c>
      <c r="G621" s="674">
        <f t="shared" si="57"/>
        <v>28384837.026213765</v>
      </c>
      <c r="H621" s="724">
        <f>+J613*G621+E621</f>
        <v>3519608.256202979</v>
      </c>
      <c r="I621" s="731">
        <f>+J614*G621+E621</f>
        <v>3519608.256202979</v>
      </c>
      <c r="J621" s="727">
        <f t="shared" si="58"/>
        <v>0</v>
      </c>
      <c r="K621" s="727"/>
      <c r="L621" s="732">
        <v>3572182</v>
      </c>
      <c r="M621" s="727">
        <f t="shared" si="59"/>
        <v>-52573.743797020987</v>
      </c>
      <c r="N621" s="732">
        <v>3572182</v>
      </c>
      <c r="O621" s="727">
        <f t="shared" si="60"/>
        <v>-52573.743797020987</v>
      </c>
      <c r="P621" s="727">
        <f t="shared" si="61"/>
        <v>0</v>
      </c>
      <c r="Q621" s="675"/>
    </row>
    <row r="622" spans="1:17">
      <c r="B622" s="332"/>
      <c r="C622" s="723">
        <f>IF(D612="","-",+C621+1)</f>
        <v>2020</v>
      </c>
      <c r="D622" s="1270">
        <f t="shared" si="62"/>
        <v>28057948.308061589</v>
      </c>
      <c r="E622" s="730">
        <f t="shared" si="63"/>
        <v>653777.43630434782</v>
      </c>
      <c r="F622" s="730">
        <f t="shared" si="56"/>
        <v>27404170.871757239</v>
      </c>
      <c r="G622" s="674">
        <f t="shared" si="57"/>
        <v>27731059.589909412</v>
      </c>
      <c r="H622" s="724">
        <f>+J613*G622+E622</f>
        <v>3453600.6365508027</v>
      </c>
      <c r="I622" s="731">
        <f>+J614*G622+E622</f>
        <v>3453600.6365508027</v>
      </c>
      <c r="J622" s="727">
        <f t="shared" si="58"/>
        <v>0</v>
      </c>
      <c r="K622" s="727"/>
      <c r="L622" s="732">
        <v>3435592.6853049258</v>
      </c>
      <c r="M622" s="727">
        <f t="shared" si="59"/>
        <v>18007.95124587696</v>
      </c>
      <c r="N622" s="732">
        <v>3435592.6853049258</v>
      </c>
      <c r="O622" s="727">
        <f t="shared" si="60"/>
        <v>18007.95124587696</v>
      </c>
      <c r="P622" s="727">
        <f t="shared" si="61"/>
        <v>0</v>
      </c>
      <c r="Q622" s="675"/>
    </row>
    <row r="623" spans="1:17">
      <c r="B623" s="332"/>
      <c r="C623" s="723">
        <f>IF(D612="","-",+C622+1)</f>
        <v>2021</v>
      </c>
      <c r="D623" s="674">
        <f t="shared" si="62"/>
        <v>27404170.871757239</v>
      </c>
      <c r="E623" s="730">
        <f t="shared" si="63"/>
        <v>653777.43630434782</v>
      </c>
      <c r="F623" s="730">
        <f t="shared" si="56"/>
        <v>26750393.43545289</v>
      </c>
      <c r="G623" s="674">
        <f t="shared" si="57"/>
        <v>27077282.153605066</v>
      </c>
      <c r="H623" s="724">
        <f>+J613*G623+E623</f>
        <v>3387593.0168986265</v>
      </c>
      <c r="I623" s="731">
        <f>+J614*G623+E623</f>
        <v>3387593.0168986265</v>
      </c>
      <c r="J623" s="727">
        <f t="shared" si="58"/>
        <v>0</v>
      </c>
      <c r="K623" s="727"/>
      <c r="L623" s="732">
        <v>0</v>
      </c>
      <c r="M623" s="727">
        <f t="shared" si="59"/>
        <v>0</v>
      </c>
      <c r="N623" s="732">
        <v>0</v>
      </c>
      <c r="O623" s="727">
        <f t="shared" si="60"/>
        <v>0</v>
      </c>
      <c r="P623" s="727">
        <f t="shared" si="61"/>
        <v>0</v>
      </c>
      <c r="Q623" s="675"/>
    </row>
    <row r="624" spans="1:17">
      <c r="B624" s="332"/>
      <c r="C624" s="723">
        <f>IF(D612="","-",+C623+1)</f>
        <v>2022</v>
      </c>
      <c r="D624" s="674">
        <f t="shared" si="62"/>
        <v>26750393.43545289</v>
      </c>
      <c r="E624" s="730">
        <f t="shared" si="63"/>
        <v>653777.43630434782</v>
      </c>
      <c r="F624" s="730">
        <f t="shared" si="56"/>
        <v>26096615.99914854</v>
      </c>
      <c r="G624" s="674">
        <f t="shared" si="57"/>
        <v>26423504.717300713</v>
      </c>
      <c r="H624" s="724">
        <f>+J613*G624+E624</f>
        <v>3321585.3972464502</v>
      </c>
      <c r="I624" s="731">
        <f>+J614*G624+E624</f>
        <v>3321585.3972464502</v>
      </c>
      <c r="J624" s="727">
        <f t="shared" si="58"/>
        <v>0</v>
      </c>
      <c r="K624" s="727"/>
      <c r="L624" s="732">
        <v>0</v>
      </c>
      <c r="M624" s="727">
        <f t="shared" si="59"/>
        <v>0</v>
      </c>
      <c r="N624" s="732">
        <v>0</v>
      </c>
      <c r="O624" s="727">
        <f t="shared" si="60"/>
        <v>0</v>
      </c>
      <c r="P624" s="727">
        <f t="shared" si="61"/>
        <v>0</v>
      </c>
      <c r="Q624" s="675"/>
    </row>
    <row r="625" spans="2:17">
      <c r="B625" s="332"/>
      <c r="C625" s="723">
        <f>IF(D612="","-",+C624+1)</f>
        <v>2023</v>
      </c>
      <c r="D625" s="674">
        <f t="shared" si="62"/>
        <v>26096615.99914854</v>
      </c>
      <c r="E625" s="730">
        <f t="shared" si="63"/>
        <v>653777.43630434782</v>
      </c>
      <c r="F625" s="730">
        <f t="shared" si="56"/>
        <v>25442838.562844191</v>
      </c>
      <c r="G625" s="674">
        <f t="shared" si="57"/>
        <v>25769727.280996367</v>
      </c>
      <c r="H625" s="724">
        <f>+J613*G625+E625</f>
        <v>3255577.7775942748</v>
      </c>
      <c r="I625" s="731">
        <f>+J614*G625+E625</f>
        <v>3255577.7775942748</v>
      </c>
      <c r="J625" s="727">
        <f t="shared" si="58"/>
        <v>0</v>
      </c>
      <c r="K625" s="727"/>
      <c r="L625" s="732">
        <v>0</v>
      </c>
      <c r="M625" s="727">
        <f t="shared" si="59"/>
        <v>0</v>
      </c>
      <c r="N625" s="732">
        <v>0</v>
      </c>
      <c r="O625" s="727">
        <f t="shared" si="60"/>
        <v>0</v>
      </c>
      <c r="P625" s="727">
        <f t="shared" si="61"/>
        <v>0</v>
      </c>
      <c r="Q625" s="675"/>
    </row>
    <row r="626" spans="2:17">
      <c r="B626" s="332"/>
      <c r="C626" s="723">
        <f>IF(D612="","-",+C625+1)</f>
        <v>2024</v>
      </c>
      <c r="D626" s="674">
        <f t="shared" si="62"/>
        <v>25442838.562844191</v>
      </c>
      <c r="E626" s="730">
        <f t="shared" si="63"/>
        <v>653777.43630434782</v>
      </c>
      <c r="F626" s="730">
        <f t="shared" si="56"/>
        <v>24789061.126539841</v>
      </c>
      <c r="G626" s="674">
        <f t="shared" si="57"/>
        <v>25115949.844692014</v>
      </c>
      <c r="H626" s="724">
        <f>+J613*G626+E626</f>
        <v>3189570.1579420986</v>
      </c>
      <c r="I626" s="731">
        <f>+J614*G626+E626</f>
        <v>3189570.1579420986</v>
      </c>
      <c r="J626" s="727">
        <f t="shared" si="58"/>
        <v>0</v>
      </c>
      <c r="K626" s="727"/>
      <c r="L626" s="732">
        <v>0</v>
      </c>
      <c r="M626" s="727">
        <f t="shared" si="59"/>
        <v>0</v>
      </c>
      <c r="N626" s="732">
        <v>0</v>
      </c>
      <c r="O626" s="727">
        <f t="shared" si="60"/>
        <v>0</v>
      </c>
      <c r="P626" s="727">
        <f t="shared" si="61"/>
        <v>0</v>
      </c>
      <c r="Q626" s="675"/>
    </row>
    <row r="627" spans="2:17">
      <c r="B627" s="332"/>
      <c r="C627" s="723">
        <f>IF(D612="","-",+C626+1)</f>
        <v>2025</v>
      </c>
      <c r="D627" s="674">
        <f t="shared" si="62"/>
        <v>24789061.126539841</v>
      </c>
      <c r="E627" s="730">
        <f t="shared" si="63"/>
        <v>653777.43630434782</v>
      </c>
      <c r="F627" s="730">
        <f t="shared" si="56"/>
        <v>24135283.690235492</v>
      </c>
      <c r="G627" s="674">
        <f t="shared" si="57"/>
        <v>24462172.408387668</v>
      </c>
      <c r="H627" s="724">
        <f>+J613*G627+E627</f>
        <v>3123562.5382899232</v>
      </c>
      <c r="I627" s="731">
        <f>+J614*G627+E627</f>
        <v>3123562.5382899232</v>
      </c>
      <c r="J627" s="727">
        <f t="shared" si="58"/>
        <v>0</v>
      </c>
      <c r="K627" s="727"/>
      <c r="L627" s="732">
        <v>0</v>
      </c>
      <c r="M627" s="727">
        <f t="shared" si="59"/>
        <v>0</v>
      </c>
      <c r="N627" s="732">
        <v>0</v>
      </c>
      <c r="O627" s="727">
        <f t="shared" si="60"/>
        <v>0</v>
      </c>
      <c r="P627" s="727">
        <f t="shared" si="61"/>
        <v>0</v>
      </c>
      <c r="Q627" s="675"/>
    </row>
    <row r="628" spans="2:17">
      <c r="B628" s="332"/>
      <c r="C628" s="723">
        <f>IF(D612="","-",+C627+1)</f>
        <v>2026</v>
      </c>
      <c r="D628" s="674">
        <f t="shared" si="62"/>
        <v>24135283.690235492</v>
      </c>
      <c r="E628" s="730">
        <f t="shared" si="63"/>
        <v>653777.43630434782</v>
      </c>
      <c r="F628" s="730">
        <f t="shared" si="56"/>
        <v>23481506.253931142</v>
      </c>
      <c r="G628" s="674">
        <f t="shared" si="57"/>
        <v>23808394.972083315</v>
      </c>
      <c r="H628" s="724">
        <f>+J613*G628+E628</f>
        <v>3057554.9186377469</v>
      </c>
      <c r="I628" s="731">
        <f>+J614*G628+E628</f>
        <v>3057554.9186377469</v>
      </c>
      <c r="J628" s="727">
        <f t="shared" si="58"/>
        <v>0</v>
      </c>
      <c r="K628" s="727"/>
      <c r="L628" s="732">
        <v>0</v>
      </c>
      <c r="M628" s="727">
        <f t="shared" si="59"/>
        <v>0</v>
      </c>
      <c r="N628" s="732">
        <v>0</v>
      </c>
      <c r="O628" s="727">
        <f t="shared" si="60"/>
        <v>0</v>
      </c>
      <c r="P628" s="727">
        <f t="shared" si="61"/>
        <v>0</v>
      </c>
      <c r="Q628" s="675"/>
    </row>
    <row r="629" spans="2:17">
      <c r="B629" s="332"/>
      <c r="C629" s="723">
        <f>IF(D612="","-",+C628+1)</f>
        <v>2027</v>
      </c>
      <c r="D629" s="674">
        <f t="shared" si="62"/>
        <v>23481506.253931142</v>
      </c>
      <c r="E629" s="730">
        <f t="shared" si="63"/>
        <v>653777.43630434782</v>
      </c>
      <c r="F629" s="730">
        <f t="shared" si="56"/>
        <v>22827728.817626793</v>
      </c>
      <c r="G629" s="674">
        <f t="shared" si="57"/>
        <v>23154617.53577897</v>
      </c>
      <c r="H629" s="724">
        <f>+J613*G629+E629</f>
        <v>2991547.2989855716</v>
      </c>
      <c r="I629" s="731">
        <f>+J614*G629+E629</f>
        <v>2991547.2989855716</v>
      </c>
      <c r="J629" s="727">
        <f t="shared" si="58"/>
        <v>0</v>
      </c>
      <c r="K629" s="727"/>
      <c r="L629" s="732"/>
      <c r="M629" s="727">
        <f t="shared" si="59"/>
        <v>0</v>
      </c>
      <c r="N629" s="732"/>
      <c r="O629" s="727">
        <f t="shared" si="60"/>
        <v>0</v>
      </c>
      <c r="P629" s="727">
        <f t="shared" si="61"/>
        <v>0</v>
      </c>
      <c r="Q629" s="675"/>
    </row>
    <row r="630" spans="2:17">
      <c r="B630" s="332"/>
      <c r="C630" s="723">
        <f>IF(D612="","-",+C629+1)</f>
        <v>2028</v>
      </c>
      <c r="D630" s="674">
        <f t="shared" si="62"/>
        <v>22827728.817626793</v>
      </c>
      <c r="E630" s="730">
        <f t="shared" si="63"/>
        <v>653777.43630434782</v>
      </c>
      <c r="F630" s="730">
        <f t="shared" si="56"/>
        <v>22173951.381322443</v>
      </c>
      <c r="G630" s="674">
        <f t="shared" si="57"/>
        <v>22500840.099474616</v>
      </c>
      <c r="H630" s="724">
        <f>+J613*G630+E630</f>
        <v>2925539.6793333953</v>
      </c>
      <c r="I630" s="731">
        <f>+J614*G630+E630</f>
        <v>2925539.6793333953</v>
      </c>
      <c r="J630" s="727">
        <f t="shared" si="58"/>
        <v>0</v>
      </c>
      <c r="K630" s="727"/>
      <c r="L630" s="732"/>
      <c r="M630" s="727">
        <f t="shared" si="59"/>
        <v>0</v>
      </c>
      <c r="N630" s="732"/>
      <c r="O630" s="727">
        <f t="shared" si="60"/>
        <v>0</v>
      </c>
      <c r="P630" s="727">
        <f t="shared" si="61"/>
        <v>0</v>
      </c>
      <c r="Q630" s="675"/>
    </row>
    <row r="631" spans="2:17">
      <c r="B631" s="332"/>
      <c r="C631" s="723">
        <f>IF(D612="","-",+C630+1)</f>
        <v>2029</v>
      </c>
      <c r="D631" s="674">
        <f t="shared" si="62"/>
        <v>22173951.381322443</v>
      </c>
      <c r="E631" s="730">
        <f t="shared" si="63"/>
        <v>653777.43630434782</v>
      </c>
      <c r="F631" s="730">
        <f t="shared" si="56"/>
        <v>21520173.945018094</v>
      </c>
      <c r="G631" s="674">
        <f t="shared" si="57"/>
        <v>21847062.663170271</v>
      </c>
      <c r="H631" s="724">
        <f>+J613*G631+E631</f>
        <v>2859532.059681219</v>
      </c>
      <c r="I631" s="731">
        <f>+J614*G631+E631</f>
        <v>2859532.059681219</v>
      </c>
      <c r="J631" s="727">
        <f t="shared" si="58"/>
        <v>0</v>
      </c>
      <c r="K631" s="727"/>
      <c r="L631" s="732"/>
      <c r="M631" s="727">
        <f t="shared" si="59"/>
        <v>0</v>
      </c>
      <c r="N631" s="732"/>
      <c r="O631" s="727">
        <f t="shared" si="60"/>
        <v>0</v>
      </c>
      <c r="P631" s="727">
        <f t="shared" si="61"/>
        <v>0</v>
      </c>
      <c r="Q631" s="675"/>
    </row>
    <row r="632" spans="2:17">
      <c r="B632" s="332"/>
      <c r="C632" s="723">
        <f>IF(D612="","-",+C631+1)</f>
        <v>2030</v>
      </c>
      <c r="D632" s="674">
        <f t="shared" si="62"/>
        <v>21520173.945018094</v>
      </c>
      <c r="E632" s="730">
        <f t="shared" si="63"/>
        <v>653777.43630434782</v>
      </c>
      <c r="F632" s="730">
        <f t="shared" si="56"/>
        <v>20866396.508713745</v>
      </c>
      <c r="G632" s="674">
        <f t="shared" si="57"/>
        <v>21193285.226865917</v>
      </c>
      <c r="H632" s="724">
        <f>+J613*G632+E632</f>
        <v>2793524.4400290428</v>
      </c>
      <c r="I632" s="731">
        <f>+J614*G632+E632</f>
        <v>2793524.4400290428</v>
      </c>
      <c r="J632" s="727">
        <f t="shared" si="58"/>
        <v>0</v>
      </c>
      <c r="K632" s="727"/>
      <c r="L632" s="732"/>
      <c r="M632" s="727">
        <f t="shared" si="59"/>
        <v>0</v>
      </c>
      <c r="N632" s="732"/>
      <c r="O632" s="727">
        <f t="shared" si="60"/>
        <v>0</v>
      </c>
      <c r="P632" s="727">
        <f t="shared" si="61"/>
        <v>0</v>
      </c>
      <c r="Q632" s="675"/>
    </row>
    <row r="633" spans="2:17">
      <c r="B633" s="332"/>
      <c r="C633" s="723">
        <f>IF(D612="","-",+C632+1)</f>
        <v>2031</v>
      </c>
      <c r="D633" s="674">
        <f t="shared" si="62"/>
        <v>20866396.508713745</v>
      </c>
      <c r="E633" s="730">
        <f t="shared" si="63"/>
        <v>653777.43630434782</v>
      </c>
      <c r="F633" s="730">
        <f t="shared" si="56"/>
        <v>20212619.072409395</v>
      </c>
      <c r="G633" s="674">
        <f t="shared" si="57"/>
        <v>20539507.790561572</v>
      </c>
      <c r="H633" s="724">
        <f>+J613*G633+E633</f>
        <v>2727516.8203768674</v>
      </c>
      <c r="I633" s="731">
        <f>+J614*G633+E633</f>
        <v>2727516.8203768674</v>
      </c>
      <c r="J633" s="727">
        <f t="shared" si="58"/>
        <v>0</v>
      </c>
      <c r="K633" s="727"/>
      <c r="L633" s="732"/>
      <c r="M633" s="727">
        <f t="shared" si="59"/>
        <v>0</v>
      </c>
      <c r="N633" s="732"/>
      <c r="O633" s="727">
        <f t="shared" si="60"/>
        <v>0</v>
      </c>
      <c r="P633" s="727">
        <f t="shared" si="61"/>
        <v>0</v>
      </c>
      <c r="Q633" s="675"/>
    </row>
    <row r="634" spans="2:17">
      <c r="B634" s="332"/>
      <c r="C634" s="723">
        <f>IF(D612="","-",+C633+1)</f>
        <v>2032</v>
      </c>
      <c r="D634" s="674">
        <f t="shared" si="62"/>
        <v>20212619.072409395</v>
      </c>
      <c r="E634" s="730">
        <f t="shared" si="63"/>
        <v>653777.43630434782</v>
      </c>
      <c r="F634" s="730">
        <f t="shared" si="56"/>
        <v>19558841.636105046</v>
      </c>
      <c r="G634" s="674">
        <f t="shared" si="57"/>
        <v>19885730.354257219</v>
      </c>
      <c r="H634" s="724">
        <f>+J613*G634+E634</f>
        <v>2661509.2007246912</v>
      </c>
      <c r="I634" s="731">
        <f>+J614*G634+E634</f>
        <v>2661509.2007246912</v>
      </c>
      <c r="J634" s="727">
        <f t="shared" si="58"/>
        <v>0</v>
      </c>
      <c r="K634" s="727"/>
      <c r="L634" s="732"/>
      <c r="M634" s="727">
        <f t="shared" si="59"/>
        <v>0</v>
      </c>
      <c r="N634" s="732"/>
      <c r="O634" s="727">
        <f t="shared" si="60"/>
        <v>0</v>
      </c>
      <c r="P634" s="727">
        <f t="shared" si="61"/>
        <v>0</v>
      </c>
      <c r="Q634" s="675"/>
    </row>
    <row r="635" spans="2:17">
      <c r="B635" s="332"/>
      <c r="C635" s="723">
        <f>IF(D612="","-",+C634+1)</f>
        <v>2033</v>
      </c>
      <c r="D635" s="674">
        <f t="shared" si="62"/>
        <v>19558841.636105046</v>
      </c>
      <c r="E635" s="730">
        <f t="shared" si="63"/>
        <v>653777.43630434782</v>
      </c>
      <c r="F635" s="730">
        <f t="shared" si="56"/>
        <v>18905064.199800696</v>
      </c>
      <c r="G635" s="674">
        <f t="shared" si="57"/>
        <v>19231952.917952873</v>
      </c>
      <c r="H635" s="724">
        <f>+J613*G635+E635</f>
        <v>2595501.5810725158</v>
      </c>
      <c r="I635" s="731">
        <f>+J614*G635+E635</f>
        <v>2595501.5810725158</v>
      </c>
      <c r="J635" s="727">
        <f t="shared" si="58"/>
        <v>0</v>
      </c>
      <c r="K635" s="727"/>
      <c r="L635" s="732"/>
      <c r="M635" s="727">
        <f t="shared" si="59"/>
        <v>0</v>
      </c>
      <c r="N635" s="732"/>
      <c r="O635" s="727">
        <f t="shared" si="60"/>
        <v>0</v>
      </c>
      <c r="P635" s="727">
        <f t="shared" si="61"/>
        <v>0</v>
      </c>
      <c r="Q635" s="675"/>
    </row>
    <row r="636" spans="2:17">
      <c r="B636" s="332"/>
      <c r="C636" s="723">
        <f>IF(D612="","-",+C635+1)</f>
        <v>2034</v>
      </c>
      <c r="D636" s="674">
        <f t="shared" si="62"/>
        <v>18905064.199800696</v>
      </c>
      <c r="E636" s="730">
        <f t="shared" si="63"/>
        <v>653777.43630434782</v>
      </c>
      <c r="F636" s="730">
        <f t="shared" si="56"/>
        <v>18251286.763496347</v>
      </c>
      <c r="G636" s="674">
        <f t="shared" si="57"/>
        <v>18578175.48164852</v>
      </c>
      <c r="H636" s="724">
        <f>+J613*G636+E636</f>
        <v>2529493.9614203395</v>
      </c>
      <c r="I636" s="731">
        <f>+J614*G636+E636</f>
        <v>2529493.9614203395</v>
      </c>
      <c r="J636" s="727">
        <f t="shared" si="58"/>
        <v>0</v>
      </c>
      <c r="K636" s="727"/>
      <c r="L636" s="732"/>
      <c r="M636" s="727">
        <f t="shared" si="59"/>
        <v>0</v>
      </c>
      <c r="N636" s="732"/>
      <c r="O636" s="727">
        <f t="shared" si="60"/>
        <v>0</v>
      </c>
      <c r="P636" s="727">
        <f t="shared" si="61"/>
        <v>0</v>
      </c>
      <c r="Q636" s="675"/>
    </row>
    <row r="637" spans="2:17">
      <c r="B637" s="332"/>
      <c r="C637" s="723">
        <f>IF(D612="","-",+C636+1)</f>
        <v>2035</v>
      </c>
      <c r="D637" s="674">
        <f t="shared" si="62"/>
        <v>18251286.763496347</v>
      </c>
      <c r="E637" s="730">
        <f t="shared" si="63"/>
        <v>653777.43630434782</v>
      </c>
      <c r="F637" s="730">
        <f t="shared" si="56"/>
        <v>17597509.327191997</v>
      </c>
      <c r="G637" s="674">
        <f t="shared" si="57"/>
        <v>17924398.045344174</v>
      </c>
      <c r="H637" s="724">
        <f>+J613*G637+E637</f>
        <v>2463486.3417681642</v>
      </c>
      <c r="I637" s="731">
        <f>+J614*G637+E637</f>
        <v>2463486.3417681642</v>
      </c>
      <c r="J637" s="727">
        <f t="shared" si="58"/>
        <v>0</v>
      </c>
      <c r="K637" s="727"/>
      <c r="L637" s="732"/>
      <c r="M637" s="727">
        <f t="shared" si="59"/>
        <v>0</v>
      </c>
      <c r="N637" s="732"/>
      <c r="O637" s="727">
        <f t="shared" si="60"/>
        <v>0</v>
      </c>
      <c r="P637" s="727">
        <f t="shared" si="61"/>
        <v>0</v>
      </c>
      <c r="Q637" s="675"/>
    </row>
    <row r="638" spans="2:17">
      <c r="B638" s="332"/>
      <c r="C638" s="723">
        <f>IF(D612="","-",+C637+1)</f>
        <v>2036</v>
      </c>
      <c r="D638" s="674">
        <f t="shared" si="62"/>
        <v>17597509.327191997</v>
      </c>
      <c r="E638" s="730">
        <f t="shared" si="63"/>
        <v>653777.43630434782</v>
      </c>
      <c r="F638" s="730">
        <f t="shared" si="56"/>
        <v>16943731.890887648</v>
      </c>
      <c r="G638" s="674">
        <f t="shared" si="57"/>
        <v>17270620.609039821</v>
      </c>
      <c r="H638" s="724">
        <f>+J613*G638+E638</f>
        <v>2397478.7221159874</v>
      </c>
      <c r="I638" s="731">
        <f>+J614*G638+E638</f>
        <v>2397478.7221159874</v>
      </c>
      <c r="J638" s="727">
        <f t="shared" si="58"/>
        <v>0</v>
      </c>
      <c r="K638" s="727"/>
      <c r="L638" s="732"/>
      <c r="M638" s="727">
        <f t="shared" si="59"/>
        <v>0</v>
      </c>
      <c r="N638" s="732"/>
      <c r="O638" s="727">
        <f t="shared" si="60"/>
        <v>0</v>
      </c>
      <c r="P638" s="727">
        <f t="shared" si="61"/>
        <v>0</v>
      </c>
      <c r="Q638" s="675"/>
    </row>
    <row r="639" spans="2:17">
      <c r="B639" s="332"/>
      <c r="C639" s="723">
        <f>IF(D612="","-",+C638+1)</f>
        <v>2037</v>
      </c>
      <c r="D639" s="674">
        <f t="shared" si="62"/>
        <v>16943731.890887648</v>
      </c>
      <c r="E639" s="730">
        <f t="shared" si="63"/>
        <v>653777.43630434782</v>
      </c>
      <c r="F639" s="730">
        <f t="shared" si="56"/>
        <v>16289954.4545833</v>
      </c>
      <c r="G639" s="674">
        <f t="shared" si="57"/>
        <v>16616843.172735475</v>
      </c>
      <c r="H639" s="724">
        <f>+J613*G639+E639</f>
        <v>2331471.1024638116</v>
      </c>
      <c r="I639" s="731">
        <f>+J614*G639+E639</f>
        <v>2331471.1024638116</v>
      </c>
      <c r="J639" s="727">
        <f t="shared" si="58"/>
        <v>0</v>
      </c>
      <c r="K639" s="727"/>
      <c r="L639" s="732"/>
      <c r="M639" s="727">
        <f t="shared" si="59"/>
        <v>0</v>
      </c>
      <c r="N639" s="732"/>
      <c r="O639" s="727">
        <f t="shared" si="60"/>
        <v>0</v>
      </c>
      <c r="P639" s="727">
        <f t="shared" si="61"/>
        <v>0</v>
      </c>
      <c r="Q639" s="675"/>
    </row>
    <row r="640" spans="2:17">
      <c r="B640" s="332"/>
      <c r="C640" s="723">
        <f>IF(D612="","-",+C639+1)</f>
        <v>2038</v>
      </c>
      <c r="D640" s="674">
        <f t="shared" si="62"/>
        <v>16289954.4545833</v>
      </c>
      <c r="E640" s="730">
        <f t="shared" si="63"/>
        <v>653777.43630434782</v>
      </c>
      <c r="F640" s="730">
        <f t="shared" si="56"/>
        <v>15636177.018278953</v>
      </c>
      <c r="G640" s="674">
        <f t="shared" si="57"/>
        <v>15963065.736431126</v>
      </c>
      <c r="H640" s="724">
        <f>+J613*G640+E640</f>
        <v>2265463.4828116363</v>
      </c>
      <c r="I640" s="731">
        <f>+J614*G640+E640</f>
        <v>2265463.4828116363</v>
      </c>
      <c r="J640" s="727">
        <f t="shared" si="58"/>
        <v>0</v>
      </c>
      <c r="K640" s="727"/>
      <c r="L640" s="732"/>
      <c r="M640" s="727">
        <f t="shared" si="59"/>
        <v>0</v>
      </c>
      <c r="N640" s="732"/>
      <c r="O640" s="727">
        <f t="shared" si="60"/>
        <v>0</v>
      </c>
      <c r="P640" s="727">
        <f t="shared" si="61"/>
        <v>0</v>
      </c>
      <c r="Q640" s="675"/>
    </row>
    <row r="641" spans="2:17">
      <c r="B641" s="332"/>
      <c r="C641" s="723">
        <f>IF(D612="","-",+C640+1)</f>
        <v>2039</v>
      </c>
      <c r="D641" s="674">
        <f t="shared" si="62"/>
        <v>15636177.018278953</v>
      </c>
      <c r="E641" s="730">
        <f t="shared" si="63"/>
        <v>653777.43630434782</v>
      </c>
      <c r="F641" s="730">
        <f t="shared" si="56"/>
        <v>14982399.581974605</v>
      </c>
      <c r="G641" s="674">
        <f t="shared" si="57"/>
        <v>15309288.30012678</v>
      </c>
      <c r="H641" s="724">
        <f>+J613*G641+E641</f>
        <v>2199455.8631594605</v>
      </c>
      <c r="I641" s="731">
        <f>+J614*G641+E641</f>
        <v>2199455.8631594605</v>
      </c>
      <c r="J641" s="727">
        <f t="shared" si="58"/>
        <v>0</v>
      </c>
      <c r="K641" s="727"/>
      <c r="L641" s="732"/>
      <c r="M641" s="727">
        <f t="shared" si="59"/>
        <v>0</v>
      </c>
      <c r="N641" s="732"/>
      <c r="O641" s="727">
        <f t="shared" si="60"/>
        <v>0</v>
      </c>
      <c r="P641" s="727">
        <f t="shared" si="61"/>
        <v>0</v>
      </c>
      <c r="Q641" s="675"/>
    </row>
    <row r="642" spans="2:17">
      <c r="B642" s="332"/>
      <c r="C642" s="723">
        <f>IF(D612="","-",+C641+1)</f>
        <v>2040</v>
      </c>
      <c r="D642" s="674">
        <f t="shared" si="62"/>
        <v>14982399.581974605</v>
      </c>
      <c r="E642" s="730">
        <f t="shared" si="63"/>
        <v>653777.43630434782</v>
      </c>
      <c r="F642" s="730">
        <f t="shared" si="56"/>
        <v>14328622.145670258</v>
      </c>
      <c r="G642" s="674">
        <f t="shared" si="57"/>
        <v>14655510.86382243</v>
      </c>
      <c r="H642" s="724">
        <f>+J613*G642+E642</f>
        <v>2133448.2435072847</v>
      </c>
      <c r="I642" s="731">
        <f>+J614*G642+E642</f>
        <v>2133448.2435072847</v>
      </c>
      <c r="J642" s="727">
        <f t="shared" si="58"/>
        <v>0</v>
      </c>
      <c r="K642" s="727"/>
      <c r="L642" s="732"/>
      <c r="M642" s="727">
        <f t="shared" si="59"/>
        <v>0</v>
      </c>
      <c r="N642" s="732"/>
      <c r="O642" s="727">
        <f t="shared" si="60"/>
        <v>0</v>
      </c>
      <c r="P642" s="727">
        <f t="shared" si="61"/>
        <v>0</v>
      </c>
      <c r="Q642" s="675"/>
    </row>
    <row r="643" spans="2:17">
      <c r="B643" s="332"/>
      <c r="C643" s="723">
        <f>IF(D612="","-",+C642+1)</f>
        <v>2041</v>
      </c>
      <c r="D643" s="674">
        <f t="shared" si="62"/>
        <v>14328622.145670258</v>
      </c>
      <c r="E643" s="730">
        <f t="shared" si="63"/>
        <v>653777.43630434782</v>
      </c>
      <c r="F643" s="730">
        <f t="shared" si="56"/>
        <v>13674844.70936591</v>
      </c>
      <c r="G643" s="674">
        <f t="shared" si="57"/>
        <v>14001733.427518085</v>
      </c>
      <c r="H643" s="724">
        <f>+J613*G643+E643</f>
        <v>2067440.6238551091</v>
      </c>
      <c r="I643" s="731">
        <f>+J614*G643+E643</f>
        <v>2067440.6238551091</v>
      </c>
      <c r="J643" s="727">
        <f t="shared" si="58"/>
        <v>0</v>
      </c>
      <c r="K643" s="727"/>
      <c r="L643" s="732"/>
      <c r="M643" s="727">
        <f t="shared" si="59"/>
        <v>0</v>
      </c>
      <c r="N643" s="732"/>
      <c r="O643" s="727">
        <f t="shared" si="60"/>
        <v>0</v>
      </c>
      <c r="P643" s="727">
        <f t="shared" si="61"/>
        <v>0</v>
      </c>
      <c r="Q643" s="675"/>
    </row>
    <row r="644" spans="2:17">
      <c r="B644" s="332"/>
      <c r="C644" s="723">
        <f>IF(D612="","-",+C643+1)</f>
        <v>2042</v>
      </c>
      <c r="D644" s="674">
        <f t="shared" si="62"/>
        <v>13674844.70936591</v>
      </c>
      <c r="E644" s="730">
        <f t="shared" si="63"/>
        <v>653777.43630434782</v>
      </c>
      <c r="F644" s="730">
        <f t="shared" si="56"/>
        <v>13021067.273061562</v>
      </c>
      <c r="G644" s="674">
        <f t="shared" si="57"/>
        <v>13347955.991213735</v>
      </c>
      <c r="H644" s="724">
        <f>+J613*G644+E644</f>
        <v>2001433.0042029331</v>
      </c>
      <c r="I644" s="731">
        <f>+J614*G644+E644</f>
        <v>2001433.0042029331</v>
      </c>
      <c r="J644" s="727">
        <f t="shared" si="58"/>
        <v>0</v>
      </c>
      <c r="K644" s="727"/>
      <c r="L644" s="732"/>
      <c r="M644" s="727">
        <f t="shared" si="59"/>
        <v>0</v>
      </c>
      <c r="N644" s="732"/>
      <c r="O644" s="727">
        <f t="shared" si="60"/>
        <v>0</v>
      </c>
      <c r="P644" s="727">
        <f t="shared" si="61"/>
        <v>0</v>
      </c>
      <c r="Q644" s="675"/>
    </row>
    <row r="645" spans="2:17">
      <c r="B645" s="332"/>
      <c r="C645" s="723">
        <f>IF(D612="","-",+C644+1)</f>
        <v>2043</v>
      </c>
      <c r="D645" s="674">
        <f t="shared" si="62"/>
        <v>13021067.273061562</v>
      </c>
      <c r="E645" s="730">
        <f t="shared" si="63"/>
        <v>653777.43630434782</v>
      </c>
      <c r="F645" s="730">
        <f t="shared" si="56"/>
        <v>12367289.836757215</v>
      </c>
      <c r="G645" s="674">
        <f t="shared" si="57"/>
        <v>12694178.554909389</v>
      </c>
      <c r="H645" s="724">
        <f>+J613*G645+E645</f>
        <v>1935425.3845507575</v>
      </c>
      <c r="I645" s="731">
        <f>+J614*G645+E645</f>
        <v>1935425.3845507575</v>
      </c>
      <c r="J645" s="727">
        <f t="shared" si="58"/>
        <v>0</v>
      </c>
      <c r="K645" s="727"/>
      <c r="L645" s="732"/>
      <c r="M645" s="727">
        <f t="shared" si="59"/>
        <v>0</v>
      </c>
      <c r="N645" s="732"/>
      <c r="O645" s="727">
        <f t="shared" si="60"/>
        <v>0</v>
      </c>
      <c r="P645" s="727">
        <f t="shared" si="61"/>
        <v>0</v>
      </c>
      <c r="Q645" s="675"/>
    </row>
    <row r="646" spans="2:17">
      <c r="B646" s="332"/>
      <c r="C646" s="723">
        <f>IF(D612="","-",+C645+1)</f>
        <v>2044</v>
      </c>
      <c r="D646" s="674">
        <f t="shared" si="62"/>
        <v>12367289.836757215</v>
      </c>
      <c r="E646" s="730">
        <f t="shared" si="63"/>
        <v>653777.43630434782</v>
      </c>
      <c r="F646" s="730">
        <f t="shared" si="56"/>
        <v>11713512.400452867</v>
      </c>
      <c r="G646" s="674">
        <f t="shared" si="57"/>
        <v>12040401.11860504</v>
      </c>
      <c r="H646" s="724">
        <f>+J613*G646+E646</f>
        <v>1869417.7648985817</v>
      </c>
      <c r="I646" s="731">
        <f>+J614*G646+E646</f>
        <v>1869417.7648985817</v>
      </c>
      <c r="J646" s="727">
        <f t="shared" si="58"/>
        <v>0</v>
      </c>
      <c r="K646" s="727"/>
      <c r="L646" s="732"/>
      <c r="M646" s="727">
        <f t="shared" si="59"/>
        <v>0</v>
      </c>
      <c r="N646" s="732"/>
      <c r="O646" s="727">
        <f t="shared" si="60"/>
        <v>0</v>
      </c>
      <c r="P646" s="727">
        <f t="shared" si="61"/>
        <v>0</v>
      </c>
      <c r="Q646" s="675"/>
    </row>
    <row r="647" spans="2:17">
      <c r="B647" s="332"/>
      <c r="C647" s="723">
        <f>IF(D612="","-",+C646+1)</f>
        <v>2045</v>
      </c>
      <c r="D647" s="674">
        <f t="shared" si="62"/>
        <v>11713512.400452867</v>
      </c>
      <c r="E647" s="730">
        <f t="shared" si="63"/>
        <v>653777.43630434782</v>
      </c>
      <c r="F647" s="730">
        <f t="shared" si="56"/>
        <v>11059734.96414852</v>
      </c>
      <c r="G647" s="674">
        <f t="shared" si="57"/>
        <v>11386623.682300694</v>
      </c>
      <c r="H647" s="724">
        <f>+J613*G647+E647</f>
        <v>1803410.1452464061</v>
      </c>
      <c r="I647" s="731">
        <f>+J614*G647+E647</f>
        <v>1803410.1452464061</v>
      </c>
      <c r="J647" s="727">
        <f t="shared" si="58"/>
        <v>0</v>
      </c>
      <c r="K647" s="727"/>
      <c r="L647" s="732"/>
      <c r="M647" s="727">
        <f t="shared" si="59"/>
        <v>0</v>
      </c>
      <c r="N647" s="732"/>
      <c r="O647" s="727">
        <f t="shared" si="60"/>
        <v>0</v>
      </c>
      <c r="P647" s="727">
        <f t="shared" si="61"/>
        <v>0</v>
      </c>
      <c r="Q647" s="675"/>
    </row>
    <row r="648" spans="2:17">
      <c r="B648" s="332"/>
      <c r="C648" s="723">
        <f>IF(D612="","-",+C647+1)</f>
        <v>2046</v>
      </c>
      <c r="D648" s="674">
        <f t="shared" si="62"/>
        <v>11059734.96414852</v>
      </c>
      <c r="E648" s="730">
        <f t="shared" si="63"/>
        <v>653777.43630434782</v>
      </c>
      <c r="F648" s="730">
        <f t="shared" si="56"/>
        <v>10405957.527844172</v>
      </c>
      <c r="G648" s="674">
        <f t="shared" si="57"/>
        <v>10732846.245996345</v>
      </c>
      <c r="H648" s="724">
        <f>+J613*G648+E648</f>
        <v>1737402.52559423</v>
      </c>
      <c r="I648" s="731">
        <f>+J614*G648+E648</f>
        <v>1737402.52559423</v>
      </c>
      <c r="J648" s="727">
        <f t="shared" si="58"/>
        <v>0</v>
      </c>
      <c r="K648" s="727"/>
      <c r="L648" s="732"/>
      <c r="M648" s="727">
        <f t="shared" si="59"/>
        <v>0</v>
      </c>
      <c r="N648" s="732"/>
      <c r="O648" s="727">
        <f t="shared" si="60"/>
        <v>0</v>
      </c>
      <c r="P648" s="727">
        <f t="shared" si="61"/>
        <v>0</v>
      </c>
      <c r="Q648" s="675"/>
    </row>
    <row r="649" spans="2:17">
      <c r="B649" s="332"/>
      <c r="C649" s="723">
        <f>IF(D612="","-",+C648+1)</f>
        <v>2047</v>
      </c>
      <c r="D649" s="674">
        <f t="shared" si="62"/>
        <v>10405957.527844172</v>
      </c>
      <c r="E649" s="730">
        <f t="shared" si="63"/>
        <v>653777.43630434782</v>
      </c>
      <c r="F649" s="730">
        <f t="shared" si="56"/>
        <v>9752180.0915398244</v>
      </c>
      <c r="G649" s="674">
        <f t="shared" si="57"/>
        <v>10079068.809691999</v>
      </c>
      <c r="H649" s="724">
        <f>+J613*G649+E649</f>
        <v>1671394.9059420545</v>
      </c>
      <c r="I649" s="731">
        <f>+J614*G649+E649</f>
        <v>1671394.9059420545</v>
      </c>
      <c r="J649" s="727">
        <f t="shared" si="58"/>
        <v>0</v>
      </c>
      <c r="K649" s="727"/>
      <c r="L649" s="732"/>
      <c r="M649" s="727">
        <f t="shared" si="59"/>
        <v>0</v>
      </c>
      <c r="N649" s="732"/>
      <c r="O649" s="727">
        <f t="shared" si="60"/>
        <v>0</v>
      </c>
      <c r="P649" s="727">
        <f t="shared" si="61"/>
        <v>0</v>
      </c>
      <c r="Q649" s="675"/>
    </row>
    <row r="650" spans="2:17">
      <c r="B650" s="332"/>
      <c r="C650" s="723">
        <f>IF(D612="","-",+C649+1)</f>
        <v>2048</v>
      </c>
      <c r="D650" s="674">
        <f t="shared" si="62"/>
        <v>9752180.0915398244</v>
      </c>
      <c r="E650" s="730">
        <f t="shared" si="63"/>
        <v>653777.43630434782</v>
      </c>
      <c r="F650" s="730">
        <f t="shared" si="56"/>
        <v>9098402.6552354768</v>
      </c>
      <c r="G650" s="674">
        <f t="shared" si="57"/>
        <v>9425291.3733876497</v>
      </c>
      <c r="H650" s="724">
        <f>+J613*G650+E650</f>
        <v>1605387.2862898787</v>
      </c>
      <c r="I650" s="731">
        <f>+J614*G650+E650</f>
        <v>1605387.2862898787</v>
      </c>
      <c r="J650" s="727">
        <f t="shared" si="58"/>
        <v>0</v>
      </c>
      <c r="K650" s="727"/>
      <c r="L650" s="732"/>
      <c r="M650" s="727">
        <f t="shared" si="59"/>
        <v>0</v>
      </c>
      <c r="N650" s="732"/>
      <c r="O650" s="727">
        <f t="shared" si="60"/>
        <v>0</v>
      </c>
      <c r="P650" s="727">
        <f t="shared" si="61"/>
        <v>0</v>
      </c>
      <c r="Q650" s="675"/>
    </row>
    <row r="651" spans="2:17">
      <c r="B651" s="332"/>
      <c r="C651" s="723">
        <f>IF(D612="","-",+C650+1)</f>
        <v>2049</v>
      </c>
      <c r="D651" s="674">
        <f t="shared" si="62"/>
        <v>9098402.6552354768</v>
      </c>
      <c r="E651" s="730">
        <f t="shared" si="63"/>
        <v>653777.43630434782</v>
      </c>
      <c r="F651" s="730">
        <f t="shared" si="56"/>
        <v>8444625.2189311292</v>
      </c>
      <c r="G651" s="674">
        <f t="shared" si="57"/>
        <v>8771513.9370833039</v>
      </c>
      <c r="H651" s="724">
        <f>+J613*G651+E651</f>
        <v>1539379.6666377031</v>
      </c>
      <c r="I651" s="731">
        <f>+J614*G651+E651</f>
        <v>1539379.6666377031</v>
      </c>
      <c r="J651" s="727">
        <f t="shared" si="58"/>
        <v>0</v>
      </c>
      <c r="K651" s="727"/>
      <c r="L651" s="732"/>
      <c r="M651" s="727">
        <f t="shared" si="59"/>
        <v>0</v>
      </c>
      <c r="N651" s="732"/>
      <c r="O651" s="727">
        <f t="shared" si="60"/>
        <v>0</v>
      </c>
      <c r="P651" s="727">
        <f t="shared" si="61"/>
        <v>0</v>
      </c>
      <c r="Q651" s="675"/>
    </row>
    <row r="652" spans="2:17">
      <c r="B652" s="332"/>
      <c r="C652" s="723">
        <f>IF(D612="","-",+C651+1)</f>
        <v>2050</v>
      </c>
      <c r="D652" s="674">
        <f t="shared" si="62"/>
        <v>8444625.2189311292</v>
      </c>
      <c r="E652" s="730">
        <f t="shared" si="63"/>
        <v>653777.43630434782</v>
      </c>
      <c r="F652" s="730">
        <f t="shared" si="56"/>
        <v>7790847.7826267816</v>
      </c>
      <c r="G652" s="674">
        <f t="shared" si="57"/>
        <v>8117736.5007789554</v>
      </c>
      <c r="H652" s="724">
        <f>+J613*G652+E652</f>
        <v>1473372.0469855273</v>
      </c>
      <c r="I652" s="731">
        <f>+J614*G652+E652</f>
        <v>1473372.0469855273</v>
      </c>
      <c r="J652" s="727">
        <f t="shared" si="58"/>
        <v>0</v>
      </c>
      <c r="K652" s="727"/>
      <c r="L652" s="732"/>
      <c r="M652" s="727">
        <f t="shared" si="59"/>
        <v>0</v>
      </c>
      <c r="N652" s="732"/>
      <c r="O652" s="727">
        <f t="shared" si="60"/>
        <v>0</v>
      </c>
      <c r="P652" s="727">
        <f t="shared" si="61"/>
        <v>0</v>
      </c>
      <c r="Q652" s="675"/>
    </row>
    <row r="653" spans="2:17">
      <c r="B653" s="332"/>
      <c r="C653" s="723">
        <f>IF(D612="","-",+C652+1)</f>
        <v>2051</v>
      </c>
      <c r="D653" s="674">
        <f t="shared" si="62"/>
        <v>7790847.7826267816</v>
      </c>
      <c r="E653" s="730">
        <f t="shared" si="63"/>
        <v>653777.43630434782</v>
      </c>
      <c r="F653" s="730">
        <f t="shared" si="56"/>
        <v>7137070.346322434</v>
      </c>
      <c r="G653" s="674">
        <f t="shared" si="57"/>
        <v>7463959.0644746078</v>
      </c>
      <c r="H653" s="724">
        <f>+J613*G653+E653</f>
        <v>1407364.4273333515</v>
      </c>
      <c r="I653" s="731">
        <f>+J614*G653+E653</f>
        <v>1407364.4273333515</v>
      </c>
      <c r="J653" s="727">
        <f t="shared" si="58"/>
        <v>0</v>
      </c>
      <c r="K653" s="727"/>
      <c r="L653" s="732"/>
      <c r="M653" s="727">
        <f t="shared" si="59"/>
        <v>0</v>
      </c>
      <c r="N653" s="732"/>
      <c r="O653" s="727">
        <f t="shared" si="60"/>
        <v>0</v>
      </c>
      <c r="P653" s="727">
        <f t="shared" si="61"/>
        <v>0</v>
      </c>
      <c r="Q653" s="675"/>
    </row>
    <row r="654" spans="2:17">
      <c r="B654" s="332"/>
      <c r="C654" s="723">
        <f>IF(D612="","-",+C653+1)</f>
        <v>2052</v>
      </c>
      <c r="D654" s="674">
        <f t="shared" si="62"/>
        <v>7137070.346322434</v>
      </c>
      <c r="E654" s="730">
        <f t="shared" si="63"/>
        <v>653777.43630434782</v>
      </c>
      <c r="F654" s="730">
        <f t="shared" si="56"/>
        <v>6483292.9100180864</v>
      </c>
      <c r="G654" s="674">
        <f t="shared" si="57"/>
        <v>6810181.6281702602</v>
      </c>
      <c r="H654" s="724">
        <f>+J613*G654+E654</f>
        <v>1341356.8076811759</v>
      </c>
      <c r="I654" s="731">
        <f>+J614*G654+E654</f>
        <v>1341356.8076811759</v>
      </c>
      <c r="J654" s="727">
        <f t="shared" si="58"/>
        <v>0</v>
      </c>
      <c r="K654" s="727"/>
      <c r="L654" s="732"/>
      <c r="M654" s="727">
        <f t="shared" si="59"/>
        <v>0</v>
      </c>
      <c r="N654" s="732"/>
      <c r="O654" s="727">
        <f t="shared" si="60"/>
        <v>0</v>
      </c>
      <c r="P654" s="727">
        <f t="shared" si="61"/>
        <v>0</v>
      </c>
      <c r="Q654" s="675"/>
    </row>
    <row r="655" spans="2:17">
      <c r="B655" s="332"/>
      <c r="C655" s="723">
        <f>IF(D612="","-",+C654+1)</f>
        <v>2053</v>
      </c>
      <c r="D655" s="674">
        <f t="shared" si="62"/>
        <v>6483292.9100180864</v>
      </c>
      <c r="E655" s="730">
        <f t="shared" si="63"/>
        <v>653777.43630434782</v>
      </c>
      <c r="F655" s="730">
        <f t="shared" si="56"/>
        <v>5829515.4737137388</v>
      </c>
      <c r="G655" s="674">
        <f t="shared" si="57"/>
        <v>6156404.1918659126</v>
      </c>
      <c r="H655" s="724">
        <f>+J613*G655+E655</f>
        <v>1275349.1880290001</v>
      </c>
      <c r="I655" s="731">
        <f>+J614*G655+E655</f>
        <v>1275349.1880290001</v>
      </c>
      <c r="J655" s="727">
        <f t="shared" si="58"/>
        <v>0</v>
      </c>
      <c r="K655" s="727"/>
      <c r="L655" s="732"/>
      <c r="M655" s="727">
        <f t="shared" si="59"/>
        <v>0</v>
      </c>
      <c r="N655" s="732"/>
      <c r="O655" s="727">
        <f t="shared" si="60"/>
        <v>0</v>
      </c>
      <c r="P655" s="727">
        <f t="shared" si="61"/>
        <v>0</v>
      </c>
      <c r="Q655" s="675"/>
    </row>
    <row r="656" spans="2:17">
      <c r="B656" s="332"/>
      <c r="C656" s="723">
        <f>IF(D612="","-",+C655+1)</f>
        <v>2054</v>
      </c>
      <c r="D656" s="674">
        <f t="shared" si="62"/>
        <v>5829515.4737137388</v>
      </c>
      <c r="E656" s="730">
        <f t="shared" si="63"/>
        <v>653777.43630434782</v>
      </c>
      <c r="F656" s="730">
        <f t="shared" si="56"/>
        <v>5175738.0374093913</v>
      </c>
      <c r="G656" s="674">
        <f t="shared" si="57"/>
        <v>5502626.755561565</v>
      </c>
      <c r="H656" s="724">
        <f>+J613*G656+E656</f>
        <v>1209341.5683768243</v>
      </c>
      <c r="I656" s="731">
        <f>+J614*G656+E656</f>
        <v>1209341.5683768243</v>
      </c>
      <c r="J656" s="727">
        <f t="shared" si="58"/>
        <v>0</v>
      </c>
      <c r="K656" s="727"/>
      <c r="L656" s="732"/>
      <c r="M656" s="727">
        <f t="shared" si="59"/>
        <v>0</v>
      </c>
      <c r="N656" s="732"/>
      <c r="O656" s="727">
        <f t="shared" si="60"/>
        <v>0</v>
      </c>
      <c r="P656" s="727">
        <f t="shared" si="61"/>
        <v>0</v>
      </c>
      <c r="Q656" s="675"/>
    </row>
    <row r="657" spans="2:17">
      <c r="B657" s="332"/>
      <c r="C657" s="723">
        <f>IF(D612="","-",+C656+1)</f>
        <v>2055</v>
      </c>
      <c r="D657" s="674">
        <f t="shared" si="62"/>
        <v>5175738.0374093913</v>
      </c>
      <c r="E657" s="730">
        <f t="shared" si="63"/>
        <v>653777.43630434782</v>
      </c>
      <c r="F657" s="730">
        <f t="shared" si="56"/>
        <v>4521960.6011050437</v>
      </c>
      <c r="G657" s="674">
        <f t="shared" si="57"/>
        <v>4848849.3192572175</v>
      </c>
      <c r="H657" s="724">
        <f>+J613*G657+E657</f>
        <v>1143333.9487246484</v>
      </c>
      <c r="I657" s="731">
        <f>+J614*G657+E657</f>
        <v>1143333.9487246484</v>
      </c>
      <c r="J657" s="727">
        <f t="shared" si="58"/>
        <v>0</v>
      </c>
      <c r="K657" s="727"/>
      <c r="L657" s="732"/>
      <c r="M657" s="727">
        <f t="shared" si="59"/>
        <v>0</v>
      </c>
      <c r="N657" s="732"/>
      <c r="O657" s="727">
        <f t="shared" si="60"/>
        <v>0</v>
      </c>
      <c r="P657" s="727">
        <f t="shared" si="61"/>
        <v>0</v>
      </c>
      <c r="Q657" s="675"/>
    </row>
    <row r="658" spans="2:17">
      <c r="B658" s="332"/>
      <c r="C658" s="723">
        <f>IF(D612="","-",+C657+1)</f>
        <v>2056</v>
      </c>
      <c r="D658" s="674">
        <f t="shared" si="62"/>
        <v>4521960.6011050437</v>
      </c>
      <c r="E658" s="730">
        <f t="shared" si="63"/>
        <v>653777.43630434782</v>
      </c>
      <c r="F658" s="730">
        <f t="shared" si="56"/>
        <v>3868183.1648006961</v>
      </c>
      <c r="G658" s="674">
        <f t="shared" si="57"/>
        <v>4195071.8829528699</v>
      </c>
      <c r="H658" s="724">
        <f>+J613*G658+E658</f>
        <v>1077326.3290724726</v>
      </c>
      <c r="I658" s="731">
        <f>+J614*G658+E658</f>
        <v>1077326.3290724726</v>
      </c>
      <c r="J658" s="727">
        <f t="shared" si="58"/>
        <v>0</v>
      </c>
      <c r="K658" s="727"/>
      <c r="L658" s="732"/>
      <c r="M658" s="727">
        <f t="shared" si="59"/>
        <v>0</v>
      </c>
      <c r="N658" s="732"/>
      <c r="O658" s="727">
        <f t="shared" si="60"/>
        <v>0</v>
      </c>
      <c r="P658" s="727">
        <f t="shared" si="61"/>
        <v>0</v>
      </c>
      <c r="Q658" s="675"/>
    </row>
    <row r="659" spans="2:17">
      <c r="B659" s="332"/>
      <c r="C659" s="723">
        <f>IF(D612="","-",+C658+1)</f>
        <v>2057</v>
      </c>
      <c r="D659" s="674">
        <f t="shared" si="62"/>
        <v>3868183.1648006961</v>
      </c>
      <c r="E659" s="730">
        <f t="shared" si="63"/>
        <v>653777.43630434782</v>
      </c>
      <c r="F659" s="730">
        <f t="shared" si="56"/>
        <v>3214405.7284963485</v>
      </c>
      <c r="G659" s="674">
        <f t="shared" si="57"/>
        <v>3541294.4466485223</v>
      </c>
      <c r="H659" s="724">
        <f>+J613*G659+E659</f>
        <v>1011318.7094202971</v>
      </c>
      <c r="I659" s="731">
        <f>+J614*G659+E659</f>
        <v>1011318.7094202971</v>
      </c>
      <c r="J659" s="727">
        <f t="shared" si="58"/>
        <v>0</v>
      </c>
      <c r="K659" s="727"/>
      <c r="L659" s="732"/>
      <c r="M659" s="727">
        <f t="shared" si="59"/>
        <v>0</v>
      </c>
      <c r="N659" s="732"/>
      <c r="O659" s="727">
        <f t="shared" si="60"/>
        <v>0</v>
      </c>
      <c r="P659" s="727">
        <f t="shared" si="61"/>
        <v>0</v>
      </c>
      <c r="Q659" s="675"/>
    </row>
    <row r="660" spans="2:17">
      <c r="B660" s="332"/>
      <c r="C660" s="723">
        <f>IF(D612="","-",+C659+1)</f>
        <v>2058</v>
      </c>
      <c r="D660" s="674">
        <f t="shared" si="62"/>
        <v>3214405.7284963485</v>
      </c>
      <c r="E660" s="730">
        <f t="shared" si="63"/>
        <v>653777.43630434782</v>
      </c>
      <c r="F660" s="730">
        <f t="shared" si="56"/>
        <v>2560628.2921920009</v>
      </c>
      <c r="G660" s="674">
        <f t="shared" si="57"/>
        <v>2887517.0103441747</v>
      </c>
      <c r="H660" s="724">
        <f>+J613*G660+E660</f>
        <v>945311.08976812125</v>
      </c>
      <c r="I660" s="731">
        <f>+J614*G660+E660</f>
        <v>945311.08976812125</v>
      </c>
      <c r="J660" s="727">
        <f t="shared" si="58"/>
        <v>0</v>
      </c>
      <c r="K660" s="727"/>
      <c r="L660" s="732"/>
      <c r="M660" s="727">
        <f t="shared" si="59"/>
        <v>0</v>
      </c>
      <c r="N660" s="732"/>
      <c r="O660" s="727">
        <f t="shared" si="60"/>
        <v>0</v>
      </c>
      <c r="P660" s="727">
        <f t="shared" si="61"/>
        <v>0</v>
      </c>
      <c r="Q660" s="675"/>
    </row>
    <row r="661" spans="2:17">
      <c r="B661" s="332"/>
      <c r="C661" s="723">
        <f>IF(D612="","-",+C660+1)</f>
        <v>2059</v>
      </c>
      <c r="D661" s="674">
        <f t="shared" si="62"/>
        <v>2560628.2921920009</v>
      </c>
      <c r="E661" s="730">
        <f t="shared" si="63"/>
        <v>653777.43630434782</v>
      </c>
      <c r="F661" s="730">
        <f t="shared" si="56"/>
        <v>1906850.8558876531</v>
      </c>
      <c r="G661" s="674">
        <f t="shared" si="57"/>
        <v>2233739.5740398271</v>
      </c>
      <c r="H661" s="724">
        <f>+J613*G661+E661</f>
        <v>879303.47011594556</v>
      </c>
      <c r="I661" s="731">
        <f>+J614*G661+E661</f>
        <v>879303.47011594556</v>
      </c>
      <c r="J661" s="727">
        <f t="shared" si="58"/>
        <v>0</v>
      </c>
      <c r="K661" s="727"/>
      <c r="L661" s="732"/>
      <c r="M661" s="727">
        <f t="shared" si="59"/>
        <v>0</v>
      </c>
      <c r="N661" s="732"/>
      <c r="O661" s="727">
        <f t="shared" si="60"/>
        <v>0</v>
      </c>
      <c r="P661" s="727">
        <f t="shared" si="61"/>
        <v>0</v>
      </c>
      <c r="Q661" s="675"/>
    </row>
    <row r="662" spans="2:17">
      <c r="B662" s="332"/>
      <c r="C662" s="723">
        <f>IF(D612="","-",+C661+1)</f>
        <v>2060</v>
      </c>
      <c r="D662" s="674">
        <f t="shared" si="62"/>
        <v>1906850.8558876531</v>
      </c>
      <c r="E662" s="730">
        <f t="shared" si="63"/>
        <v>653777.43630434782</v>
      </c>
      <c r="F662" s="730">
        <f t="shared" si="56"/>
        <v>1253073.4195833053</v>
      </c>
      <c r="G662" s="674">
        <f t="shared" si="57"/>
        <v>1579962.137735479</v>
      </c>
      <c r="H662" s="724">
        <f>+J613*G662+E662</f>
        <v>813295.85046376975</v>
      </c>
      <c r="I662" s="731">
        <f>+J614*G662+E662</f>
        <v>813295.85046376975</v>
      </c>
      <c r="J662" s="727">
        <f t="shared" si="58"/>
        <v>0</v>
      </c>
      <c r="K662" s="727"/>
      <c r="L662" s="732"/>
      <c r="M662" s="727">
        <f t="shared" si="59"/>
        <v>0</v>
      </c>
      <c r="N662" s="732"/>
      <c r="O662" s="727">
        <f t="shared" si="60"/>
        <v>0</v>
      </c>
      <c r="P662" s="727">
        <f t="shared" si="61"/>
        <v>0</v>
      </c>
      <c r="Q662" s="675"/>
    </row>
    <row r="663" spans="2:17">
      <c r="B663" s="332"/>
      <c r="C663" s="723">
        <f>IF(D612="","-",+C662+1)</f>
        <v>2061</v>
      </c>
      <c r="D663" s="674">
        <f t="shared" si="62"/>
        <v>1253073.4195833053</v>
      </c>
      <c r="E663" s="730">
        <f t="shared" si="63"/>
        <v>653777.43630434782</v>
      </c>
      <c r="F663" s="730">
        <f t="shared" si="56"/>
        <v>599295.98327895743</v>
      </c>
      <c r="G663" s="674">
        <f t="shared" si="57"/>
        <v>926184.70143113134</v>
      </c>
      <c r="H663" s="724">
        <f>+J613*G663+E663</f>
        <v>747288.23081159405</v>
      </c>
      <c r="I663" s="731">
        <f>+J614*G663+E663</f>
        <v>747288.23081159405</v>
      </c>
      <c r="J663" s="727">
        <f t="shared" si="58"/>
        <v>0</v>
      </c>
      <c r="K663" s="727"/>
      <c r="L663" s="732"/>
      <c r="M663" s="727">
        <f t="shared" si="59"/>
        <v>0</v>
      </c>
      <c r="N663" s="732"/>
      <c r="O663" s="727">
        <f t="shared" si="60"/>
        <v>0</v>
      </c>
      <c r="P663" s="727">
        <f t="shared" si="61"/>
        <v>0</v>
      </c>
      <c r="Q663" s="675"/>
    </row>
    <row r="664" spans="2:17">
      <c r="B664" s="332"/>
      <c r="C664" s="723">
        <f>IF(D612="","-",+C663+1)</f>
        <v>2062</v>
      </c>
      <c r="D664" s="674">
        <f t="shared" si="62"/>
        <v>599295.98327895743</v>
      </c>
      <c r="E664" s="730">
        <f t="shared" si="63"/>
        <v>599295.98327895743</v>
      </c>
      <c r="F664" s="730">
        <f t="shared" si="56"/>
        <v>0</v>
      </c>
      <c r="G664" s="674">
        <f t="shared" si="57"/>
        <v>299647.99163947871</v>
      </c>
      <c r="H664" s="724">
        <f>+J613*G664+E664</f>
        <v>629549.47561953659</v>
      </c>
      <c r="I664" s="731">
        <f>+J614*G664+E664</f>
        <v>629549.47561953659</v>
      </c>
      <c r="J664" s="727">
        <f t="shared" si="58"/>
        <v>0</v>
      </c>
      <c r="K664" s="727"/>
      <c r="L664" s="732"/>
      <c r="M664" s="727">
        <f t="shared" si="59"/>
        <v>0</v>
      </c>
      <c r="N664" s="732"/>
      <c r="O664" s="727">
        <f t="shared" si="60"/>
        <v>0</v>
      </c>
      <c r="P664" s="727">
        <f t="shared" si="61"/>
        <v>0</v>
      </c>
      <c r="Q664" s="675"/>
    </row>
    <row r="665" spans="2:17">
      <c r="B665" s="332"/>
      <c r="C665" s="723">
        <f>IF(D612="","-",+C664+1)</f>
        <v>2063</v>
      </c>
      <c r="D665" s="674">
        <f t="shared" si="62"/>
        <v>0</v>
      </c>
      <c r="E665" s="730">
        <f t="shared" si="63"/>
        <v>0</v>
      </c>
      <c r="F665" s="730">
        <f t="shared" si="56"/>
        <v>0</v>
      </c>
      <c r="G665" s="674">
        <f t="shared" si="57"/>
        <v>0</v>
      </c>
      <c r="H665" s="724">
        <f>+J613*G665+E665</f>
        <v>0</v>
      </c>
      <c r="I665" s="731">
        <f>+J614*G665+E665</f>
        <v>0</v>
      </c>
      <c r="J665" s="727">
        <f t="shared" si="58"/>
        <v>0</v>
      </c>
      <c r="K665" s="727"/>
      <c r="L665" s="732"/>
      <c r="M665" s="727">
        <f t="shared" si="59"/>
        <v>0</v>
      </c>
      <c r="N665" s="732"/>
      <c r="O665" s="727">
        <f t="shared" si="60"/>
        <v>0</v>
      </c>
      <c r="P665" s="727">
        <f t="shared" si="61"/>
        <v>0</v>
      </c>
      <c r="Q665" s="675"/>
    </row>
    <row r="666" spans="2:17">
      <c r="B666" s="332"/>
      <c r="C666" s="723">
        <f>IF(D612="","-",+C665+1)</f>
        <v>2064</v>
      </c>
      <c r="D666" s="674">
        <f t="shared" si="62"/>
        <v>0</v>
      </c>
      <c r="E666" s="730">
        <f t="shared" si="63"/>
        <v>0</v>
      </c>
      <c r="F666" s="730">
        <f t="shared" si="56"/>
        <v>0</v>
      </c>
      <c r="G666" s="674">
        <f t="shared" si="57"/>
        <v>0</v>
      </c>
      <c r="H666" s="724">
        <f>+J613*G666+E666</f>
        <v>0</v>
      </c>
      <c r="I666" s="731">
        <f>+J614*G666+E666</f>
        <v>0</v>
      </c>
      <c r="J666" s="727">
        <f t="shared" si="58"/>
        <v>0</v>
      </c>
      <c r="K666" s="727"/>
      <c r="L666" s="732"/>
      <c r="M666" s="727">
        <f t="shared" si="59"/>
        <v>0</v>
      </c>
      <c r="N666" s="732"/>
      <c r="O666" s="727">
        <f t="shared" si="60"/>
        <v>0</v>
      </c>
      <c r="P666" s="727">
        <f t="shared" si="61"/>
        <v>0</v>
      </c>
      <c r="Q666" s="675"/>
    </row>
    <row r="667" spans="2:17">
      <c r="B667" s="332"/>
      <c r="C667" s="723">
        <f>IF(D612="","-",+C666+1)</f>
        <v>2065</v>
      </c>
      <c r="D667" s="674">
        <f t="shared" si="62"/>
        <v>0</v>
      </c>
      <c r="E667" s="730">
        <f t="shared" si="63"/>
        <v>0</v>
      </c>
      <c r="F667" s="730">
        <f t="shared" si="56"/>
        <v>0</v>
      </c>
      <c r="G667" s="674">
        <f t="shared" si="57"/>
        <v>0</v>
      </c>
      <c r="H667" s="724">
        <f>+J613*G667+E667</f>
        <v>0</v>
      </c>
      <c r="I667" s="731">
        <f>+J614*G667+E667</f>
        <v>0</v>
      </c>
      <c r="J667" s="727">
        <f t="shared" si="58"/>
        <v>0</v>
      </c>
      <c r="K667" s="727"/>
      <c r="L667" s="732"/>
      <c r="M667" s="727">
        <f t="shared" si="59"/>
        <v>0</v>
      </c>
      <c r="N667" s="732"/>
      <c r="O667" s="727">
        <f t="shared" si="60"/>
        <v>0</v>
      </c>
      <c r="P667" s="727">
        <f t="shared" si="61"/>
        <v>0</v>
      </c>
      <c r="Q667" s="675"/>
    </row>
    <row r="668" spans="2:17">
      <c r="B668" s="332"/>
      <c r="C668" s="723">
        <f>IF(D612="","-",+C667+1)</f>
        <v>2066</v>
      </c>
      <c r="D668" s="674">
        <f t="shared" si="62"/>
        <v>0</v>
      </c>
      <c r="E668" s="730">
        <f t="shared" si="63"/>
        <v>0</v>
      </c>
      <c r="F668" s="730">
        <f t="shared" si="56"/>
        <v>0</v>
      </c>
      <c r="G668" s="674">
        <f t="shared" si="57"/>
        <v>0</v>
      </c>
      <c r="H668" s="724">
        <f>+J613*G668+E668</f>
        <v>0</v>
      </c>
      <c r="I668" s="731">
        <f>+J614*G668+E668</f>
        <v>0</v>
      </c>
      <c r="J668" s="727">
        <f t="shared" si="58"/>
        <v>0</v>
      </c>
      <c r="K668" s="727"/>
      <c r="L668" s="732"/>
      <c r="M668" s="727">
        <f t="shared" si="59"/>
        <v>0</v>
      </c>
      <c r="N668" s="732"/>
      <c r="O668" s="727">
        <f t="shared" si="60"/>
        <v>0</v>
      </c>
      <c r="P668" s="727">
        <f t="shared" si="61"/>
        <v>0</v>
      </c>
      <c r="Q668" s="675"/>
    </row>
    <row r="669" spans="2:17">
      <c r="B669" s="332"/>
      <c r="C669" s="723">
        <f>IF(D612="","-",+C668+1)</f>
        <v>2067</v>
      </c>
      <c r="D669" s="674">
        <f t="shared" si="62"/>
        <v>0</v>
      </c>
      <c r="E669" s="730">
        <f t="shared" si="63"/>
        <v>0</v>
      </c>
      <c r="F669" s="730">
        <f t="shared" si="56"/>
        <v>0</v>
      </c>
      <c r="G669" s="674">
        <f t="shared" si="57"/>
        <v>0</v>
      </c>
      <c r="H669" s="724">
        <f>+J613*G669+E669</f>
        <v>0</v>
      </c>
      <c r="I669" s="731">
        <f>+J614*G669+E669</f>
        <v>0</v>
      </c>
      <c r="J669" s="727">
        <f t="shared" si="58"/>
        <v>0</v>
      </c>
      <c r="K669" s="727"/>
      <c r="L669" s="732"/>
      <c r="M669" s="727">
        <f t="shared" si="59"/>
        <v>0</v>
      </c>
      <c r="N669" s="732"/>
      <c r="O669" s="727">
        <f t="shared" si="60"/>
        <v>0</v>
      </c>
      <c r="P669" s="727">
        <f t="shared" si="61"/>
        <v>0</v>
      </c>
      <c r="Q669" s="675"/>
    </row>
    <row r="670" spans="2:17">
      <c r="B670" s="332"/>
      <c r="C670" s="723">
        <f>IF(D612="","-",+C669+1)</f>
        <v>2068</v>
      </c>
      <c r="D670" s="674">
        <f t="shared" si="62"/>
        <v>0</v>
      </c>
      <c r="E670" s="730">
        <f t="shared" si="63"/>
        <v>0</v>
      </c>
      <c r="F670" s="730">
        <f t="shared" si="56"/>
        <v>0</v>
      </c>
      <c r="G670" s="674">
        <f t="shared" si="57"/>
        <v>0</v>
      </c>
      <c r="H670" s="724">
        <f>+J613*G670+E670</f>
        <v>0</v>
      </c>
      <c r="I670" s="731">
        <f>+J614*G670+E670</f>
        <v>0</v>
      </c>
      <c r="J670" s="727">
        <f t="shared" si="58"/>
        <v>0</v>
      </c>
      <c r="K670" s="727"/>
      <c r="L670" s="732"/>
      <c r="M670" s="727">
        <f t="shared" si="59"/>
        <v>0</v>
      </c>
      <c r="N670" s="732"/>
      <c r="O670" s="727">
        <f t="shared" si="60"/>
        <v>0</v>
      </c>
      <c r="P670" s="727">
        <f t="shared" si="61"/>
        <v>0</v>
      </c>
      <c r="Q670" s="675"/>
    </row>
    <row r="671" spans="2:17">
      <c r="B671" s="332"/>
      <c r="C671" s="723">
        <f>IF(D612="","-",+C670+1)</f>
        <v>2069</v>
      </c>
      <c r="D671" s="674">
        <f t="shared" si="62"/>
        <v>0</v>
      </c>
      <c r="E671" s="730">
        <f t="shared" si="63"/>
        <v>0</v>
      </c>
      <c r="F671" s="730">
        <f t="shared" si="56"/>
        <v>0</v>
      </c>
      <c r="G671" s="674">
        <f t="shared" si="57"/>
        <v>0</v>
      </c>
      <c r="H671" s="724">
        <f>+J613*G671+E671</f>
        <v>0</v>
      </c>
      <c r="I671" s="731">
        <f>+J614*G671+E671</f>
        <v>0</v>
      </c>
      <c r="J671" s="727">
        <f t="shared" si="58"/>
        <v>0</v>
      </c>
      <c r="K671" s="727"/>
      <c r="L671" s="732"/>
      <c r="M671" s="727">
        <f t="shared" si="59"/>
        <v>0</v>
      </c>
      <c r="N671" s="732"/>
      <c r="O671" s="727">
        <f t="shared" si="60"/>
        <v>0</v>
      </c>
      <c r="P671" s="727">
        <f t="shared" si="61"/>
        <v>0</v>
      </c>
      <c r="Q671" s="675"/>
    </row>
    <row r="672" spans="2:17">
      <c r="B672" s="332"/>
      <c r="C672" s="723">
        <f>IF(D612="","-",+C671+1)</f>
        <v>2070</v>
      </c>
      <c r="D672" s="674">
        <f t="shared" si="62"/>
        <v>0</v>
      </c>
      <c r="E672" s="730">
        <f t="shared" si="63"/>
        <v>0</v>
      </c>
      <c r="F672" s="730">
        <f t="shared" si="56"/>
        <v>0</v>
      </c>
      <c r="G672" s="674">
        <f t="shared" si="57"/>
        <v>0</v>
      </c>
      <c r="H672" s="724">
        <f>+J613*G672+E672</f>
        <v>0</v>
      </c>
      <c r="I672" s="731">
        <f>+J614*G672+E672</f>
        <v>0</v>
      </c>
      <c r="J672" s="727">
        <f t="shared" si="58"/>
        <v>0</v>
      </c>
      <c r="K672" s="727"/>
      <c r="L672" s="732"/>
      <c r="M672" s="727">
        <f t="shared" si="59"/>
        <v>0</v>
      </c>
      <c r="N672" s="732"/>
      <c r="O672" s="727">
        <f t="shared" si="60"/>
        <v>0</v>
      </c>
      <c r="P672" s="727">
        <f t="shared" si="61"/>
        <v>0</v>
      </c>
      <c r="Q672" s="675"/>
    </row>
    <row r="673" spans="1:17">
      <c r="B673" s="332"/>
      <c r="C673" s="723">
        <f>IF(D612="","-",+C672+1)</f>
        <v>2071</v>
      </c>
      <c r="D673" s="674">
        <f t="shared" si="62"/>
        <v>0</v>
      </c>
      <c r="E673" s="730">
        <f t="shared" si="63"/>
        <v>0</v>
      </c>
      <c r="F673" s="730">
        <f t="shared" si="56"/>
        <v>0</v>
      </c>
      <c r="G673" s="674">
        <f t="shared" si="57"/>
        <v>0</v>
      </c>
      <c r="H673" s="724">
        <f>+J613*G673+E673</f>
        <v>0</v>
      </c>
      <c r="I673" s="731">
        <f>+J614*G673+E673</f>
        <v>0</v>
      </c>
      <c r="J673" s="727">
        <f t="shared" si="58"/>
        <v>0</v>
      </c>
      <c r="K673" s="727"/>
      <c r="L673" s="732"/>
      <c r="M673" s="727">
        <f t="shared" si="59"/>
        <v>0</v>
      </c>
      <c r="N673" s="732"/>
      <c r="O673" s="727">
        <f t="shared" si="60"/>
        <v>0</v>
      </c>
      <c r="P673" s="727">
        <f t="shared" si="61"/>
        <v>0</v>
      </c>
      <c r="Q673" s="675"/>
    </row>
    <row r="674" spans="1:17">
      <c r="B674" s="332"/>
      <c r="C674" s="723">
        <f>IF(D612="","-",+C673+1)</f>
        <v>2072</v>
      </c>
      <c r="D674" s="674">
        <f t="shared" si="62"/>
        <v>0</v>
      </c>
      <c r="E674" s="730">
        <f t="shared" si="63"/>
        <v>0</v>
      </c>
      <c r="F674" s="730">
        <f t="shared" si="56"/>
        <v>0</v>
      </c>
      <c r="G674" s="674">
        <f t="shared" si="57"/>
        <v>0</v>
      </c>
      <c r="H674" s="724">
        <f>+J613*G674+E674</f>
        <v>0</v>
      </c>
      <c r="I674" s="731">
        <f>+J614*G674+E674</f>
        <v>0</v>
      </c>
      <c r="J674" s="727">
        <f t="shared" si="58"/>
        <v>0</v>
      </c>
      <c r="K674" s="727"/>
      <c r="L674" s="732"/>
      <c r="M674" s="727">
        <f t="shared" si="59"/>
        <v>0</v>
      </c>
      <c r="N674" s="732"/>
      <c r="O674" s="727">
        <f t="shared" si="60"/>
        <v>0</v>
      </c>
      <c r="P674" s="727">
        <f t="shared" si="61"/>
        <v>0</v>
      </c>
      <c r="Q674" s="675"/>
    </row>
    <row r="675" spans="1:17">
      <c r="B675" s="332"/>
      <c r="C675" s="723">
        <f>IF(D612="","-",+C674+1)</f>
        <v>2073</v>
      </c>
      <c r="D675" s="674">
        <f t="shared" si="62"/>
        <v>0</v>
      </c>
      <c r="E675" s="730">
        <f t="shared" si="63"/>
        <v>0</v>
      </c>
      <c r="F675" s="730">
        <f t="shared" si="56"/>
        <v>0</v>
      </c>
      <c r="G675" s="674">
        <f t="shared" si="57"/>
        <v>0</v>
      </c>
      <c r="H675" s="724">
        <f>+J613*G675+E675</f>
        <v>0</v>
      </c>
      <c r="I675" s="731">
        <f>+J614*G675+E675</f>
        <v>0</v>
      </c>
      <c r="J675" s="727">
        <f t="shared" si="58"/>
        <v>0</v>
      </c>
      <c r="K675" s="727"/>
      <c r="L675" s="732"/>
      <c r="M675" s="727">
        <f t="shared" si="59"/>
        <v>0</v>
      </c>
      <c r="N675" s="732"/>
      <c r="O675" s="727">
        <f t="shared" si="60"/>
        <v>0</v>
      </c>
      <c r="P675" s="727">
        <f t="shared" si="61"/>
        <v>0</v>
      </c>
      <c r="Q675" s="675"/>
    </row>
    <row r="676" spans="1:17">
      <c r="B676" s="332"/>
      <c r="C676" s="723">
        <f>IF(D612="","-",+C675+1)</f>
        <v>2074</v>
      </c>
      <c r="D676" s="674">
        <f t="shared" si="62"/>
        <v>0</v>
      </c>
      <c r="E676" s="730">
        <f t="shared" si="63"/>
        <v>0</v>
      </c>
      <c r="F676" s="730">
        <f t="shared" si="56"/>
        <v>0</v>
      </c>
      <c r="G676" s="674">
        <f t="shared" si="57"/>
        <v>0</v>
      </c>
      <c r="H676" s="724">
        <f>+J613*G676+E676</f>
        <v>0</v>
      </c>
      <c r="I676" s="731">
        <f>+J614*G676+E676</f>
        <v>0</v>
      </c>
      <c r="J676" s="727">
        <f t="shared" si="58"/>
        <v>0</v>
      </c>
      <c r="K676" s="727"/>
      <c r="L676" s="732"/>
      <c r="M676" s="727">
        <f t="shared" si="59"/>
        <v>0</v>
      </c>
      <c r="N676" s="732"/>
      <c r="O676" s="727">
        <f t="shared" si="60"/>
        <v>0</v>
      </c>
      <c r="P676" s="727">
        <f t="shared" si="61"/>
        <v>0</v>
      </c>
      <c r="Q676" s="675"/>
    </row>
    <row r="677" spans="1:17" ht="13.5" thickBot="1">
      <c r="B677" s="332"/>
      <c r="C677" s="735">
        <f>IF(D612="","-",+C676+1)</f>
        <v>2075</v>
      </c>
      <c r="D677" s="736">
        <f t="shared" si="62"/>
        <v>0</v>
      </c>
      <c r="E677" s="737">
        <f t="shared" si="63"/>
        <v>0</v>
      </c>
      <c r="F677" s="737">
        <f t="shared" si="56"/>
        <v>0</v>
      </c>
      <c r="G677" s="736">
        <f t="shared" si="57"/>
        <v>0</v>
      </c>
      <c r="H677" s="738">
        <f>+J613*G677+E677</f>
        <v>0</v>
      </c>
      <c r="I677" s="738">
        <f>+J614*G677+E677</f>
        <v>0</v>
      </c>
      <c r="J677" s="739">
        <f t="shared" si="58"/>
        <v>0</v>
      </c>
      <c r="K677" s="727"/>
      <c r="L677" s="740"/>
      <c r="M677" s="739">
        <f t="shared" si="59"/>
        <v>0</v>
      </c>
      <c r="N677" s="740"/>
      <c r="O677" s="739">
        <f t="shared" si="60"/>
        <v>0</v>
      </c>
      <c r="P677" s="739">
        <f t="shared" si="61"/>
        <v>0</v>
      </c>
      <c r="Q677" s="675"/>
    </row>
    <row r="678" spans="1:17">
      <c r="B678" s="332"/>
      <c r="C678" s="674" t="s">
        <v>288</v>
      </c>
      <c r="D678" s="670"/>
      <c r="E678" s="670">
        <f>SUM(E618:E677)</f>
        <v>30073762.069999997</v>
      </c>
      <c r="F678" s="670"/>
      <c r="G678" s="670"/>
      <c r="H678" s="670">
        <f>SUM(H618:H677)</f>
        <v>102693144.95733523</v>
      </c>
      <c r="I678" s="670">
        <f>SUM(I618:I677)</f>
        <v>102693144.95733523</v>
      </c>
      <c r="J678" s="670">
        <f>SUM(J618:J677)</f>
        <v>0</v>
      </c>
      <c r="K678" s="670"/>
      <c r="L678" s="670"/>
      <c r="M678" s="670"/>
      <c r="N678" s="670"/>
      <c r="O678" s="670"/>
      <c r="Q678" s="670"/>
    </row>
    <row r="679" spans="1:17">
      <c r="B679" s="332"/>
      <c r="D679" s="564"/>
      <c r="E679" s="541"/>
      <c r="F679" s="541"/>
      <c r="G679" s="541"/>
      <c r="H679" s="541"/>
      <c r="I679" s="647"/>
      <c r="J679" s="647"/>
      <c r="K679" s="670"/>
      <c r="L679" s="647"/>
      <c r="M679" s="647"/>
      <c r="N679" s="647"/>
      <c r="O679" s="647"/>
      <c r="Q679" s="670"/>
    </row>
    <row r="680" spans="1:17">
      <c r="B680" s="332"/>
      <c r="C680" s="541" t="s">
        <v>601</v>
      </c>
      <c r="D680" s="564"/>
      <c r="E680" s="541"/>
      <c r="F680" s="541"/>
      <c r="G680" s="541"/>
      <c r="H680" s="541"/>
      <c r="I680" s="647"/>
      <c r="J680" s="647"/>
      <c r="K680" s="670"/>
      <c r="L680" s="647"/>
      <c r="M680" s="647"/>
      <c r="N680" s="647"/>
      <c r="O680" s="647"/>
      <c r="Q680" s="670"/>
    </row>
    <row r="681" spans="1:17">
      <c r="B681" s="332"/>
      <c r="D681" s="564"/>
      <c r="E681" s="541"/>
      <c r="F681" s="541"/>
      <c r="G681" s="541"/>
      <c r="H681" s="541"/>
      <c r="I681" s="647"/>
      <c r="J681" s="647"/>
      <c r="K681" s="670"/>
      <c r="L681" s="647"/>
      <c r="M681" s="647"/>
      <c r="N681" s="647"/>
      <c r="O681" s="647"/>
      <c r="Q681" s="670"/>
    </row>
    <row r="682" spans="1:17">
      <c r="B682" s="332"/>
      <c r="C682" s="577" t="s">
        <v>602</v>
      </c>
      <c r="D682" s="674"/>
      <c r="E682" s="674"/>
      <c r="F682" s="674"/>
      <c r="G682" s="674"/>
      <c r="H682" s="670"/>
      <c r="I682" s="670"/>
      <c r="J682" s="675"/>
      <c r="K682" s="675"/>
      <c r="L682" s="675"/>
      <c r="M682" s="675"/>
      <c r="N682" s="675"/>
      <c r="O682" s="675"/>
      <c r="Q682" s="675"/>
    </row>
    <row r="683" spans="1:17">
      <c r="B683" s="332"/>
      <c r="C683" s="577" t="s">
        <v>476</v>
      </c>
      <c r="D683" s="674"/>
      <c r="E683" s="674"/>
      <c r="F683" s="674"/>
      <c r="G683" s="674"/>
      <c r="H683" s="670"/>
      <c r="I683" s="670"/>
      <c r="J683" s="675"/>
      <c r="K683" s="675"/>
      <c r="L683" s="675"/>
      <c r="M683" s="675"/>
      <c r="N683" s="675"/>
      <c r="O683" s="675"/>
      <c r="Q683" s="675"/>
    </row>
    <row r="684" spans="1:17">
      <c r="B684" s="332"/>
      <c r="C684" s="577" t="s">
        <v>289</v>
      </c>
      <c r="D684" s="674"/>
      <c r="E684" s="674"/>
      <c r="F684" s="674"/>
      <c r="G684" s="674"/>
      <c r="H684" s="670"/>
      <c r="I684" s="670"/>
      <c r="J684" s="675"/>
      <c r="K684" s="675"/>
      <c r="L684" s="675"/>
      <c r="M684" s="675"/>
      <c r="N684" s="675"/>
      <c r="O684" s="675"/>
      <c r="Q684" s="675"/>
    </row>
    <row r="685" spans="1:17" ht="20.25">
      <c r="A685" s="676" t="s">
        <v>770</v>
      </c>
      <c r="B685" s="541"/>
      <c r="C685" s="656"/>
      <c r="D685" s="564"/>
      <c r="E685" s="541"/>
      <c r="F685" s="646"/>
      <c r="G685" s="646"/>
      <c r="H685" s="541"/>
      <c r="I685" s="647"/>
      <c r="L685" s="677"/>
      <c r="M685" s="677"/>
      <c r="N685" s="677"/>
      <c r="O685" s="592" t="str">
        <f>"Page "&amp;SUM(Q$3:Q685)&amp;" of "</f>
        <v xml:space="preserve">Page 9 of </v>
      </c>
      <c r="P685" s="593">
        <f>COUNT(Q$8:Q$58123)</f>
        <v>16</v>
      </c>
      <c r="Q685" s="761">
        <v>1</v>
      </c>
    </row>
    <row r="686" spans="1:17">
      <c r="B686" s="541"/>
      <c r="C686" s="541"/>
      <c r="D686" s="564"/>
      <c r="E686" s="541"/>
      <c r="F686" s="541"/>
      <c r="G686" s="541"/>
      <c r="H686" s="541"/>
      <c r="I686" s="647"/>
      <c r="J686" s="541"/>
      <c r="K686" s="589"/>
      <c r="Q686" s="589"/>
    </row>
    <row r="687" spans="1:17" ht="18">
      <c r="B687" s="596" t="s">
        <v>174</v>
      </c>
      <c r="C687" s="678" t="s">
        <v>290</v>
      </c>
      <c r="D687" s="564"/>
      <c r="E687" s="541"/>
      <c r="F687" s="541"/>
      <c r="G687" s="541"/>
      <c r="H687" s="541"/>
      <c r="I687" s="647"/>
      <c r="J687" s="647"/>
      <c r="K687" s="670"/>
      <c r="L687" s="647"/>
      <c r="M687" s="647"/>
      <c r="N687" s="647"/>
      <c r="O687" s="647"/>
      <c r="Q687" s="670"/>
    </row>
    <row r="688" spans="1:17" ht="18.75">
      <c r="B688" s="596"/>
      <c r="C688" s="595"/>
      <c r="D688" s="564"/>
      <c r="E688" s="541"/>
      <c r="F688" s="541"/>
      <c r="G688" s="541"/>
      <c r="H688" s="541"/>
      <c r="I688" s="647"/>
      <c r="J688" s="647"/>
      <c r="K688" s="670"/>
      <c r="L688" s="647"/>
      <c r="M688" s="647"/>
      <c r="N688" s="647"/>
      <c r="O688" s="647"/>
      <c r="Q688" s="670"/>
    </row>
    <row r="689" spans="1:17" ht="18.75">
      <c r="B689" s="596"/>
      <c r="C689" s="595" t="s">
        <v>291</v>
      </c>
      <c r="D689" s="564"/>
      <c r="E689" s="541"/>
      <c r="F689" s="541"/>
      <c r="G689" s="541"/>
      <c r="H689" s="541"/>
      <c r="I689" s="647"/>
      <c r="J689" s="647"/>
      <c r="K689" s="670"/>
      <c r="L689" s="647"/>
      <c r="M689" s="647"/>
      <c r="N689" s="647"/>
      <c r="O689" s="647"/>
      <c r="Q689" s="670"/>
    </row>
    <row r="690" spans="1:17" ht="15.75" thickBot="1">
      <c r="B690" s="332"/>
      <c r="C690" s="398"/>
      <c r="D690" s="564"/>
      <c r="E690" s="541"/>
      <c r="F690" s="541"/>
      <c r="G690" s="541"/>
      <c r="H690" s="541"/>
      <c r="I690" s="647"/>
      <c r="J690" s="647"/>
      <c r="K690" s="670"/>
      <c r="L690" s="647"/>
      <c r="M690" s="647"/>
      <c r="N690" s="647"/>
      <c r="O690" s="647"/>
      <c r="Q690" s="670"/>
    </row>
    <row r="691" spans="1:17" ht="15.75">
      <c r="B691" s="332"/>
      <c r="C691" s="597" t="s">
        <v>292</v>
      </c>
      <c r="D691" s="564"/>
      <c r="E691" s="541"/>
      <c r="F691" s="541"/>
      <c r="G691" s="541"/>
      <c r="H691" s="870"/>
      <c r="I691" s="541" t="s">
        <v>271</v>
      </c>
      <c r="J691" s="541"/>
      <c r="K691" s="589"/>
      <c r="L691" s="762">
        <f>+J697</f>
        <v>2020</v>
      </c>
      <c r="M691" s="744" t="s">
        <v>254</v>
      </c>
      <c r="N691" s="744" t="s">
        <v>255</v>
      </c>
      <c r="O691" s="745" t="s">
        <v>256</v>
      </c>
      <c r="Q691" s="589"/>
    </row>
    <row r="692" spans="1:17" ht="15.75">
      <c r="B692" s="332"/>
      <c r="C692" s="597"/>
      <c r="D692" s="564"/>
      <c r="E692" s="541"/>
      <c r="F692" s="541"/>
      <c r="H692" s="541"/>
      <c r="I692" s="682"/>
      <c r="J692" s="682"/>
      <c r="K692" s="683"/>
      <c r="L692" s="763" t="s">
        <v>455</v>
      </c>
      <c r="M692" s="764">
        <f>VLOOKUP(J697,C704:P763,10)</f>
        <v>626724.43171071797</v>
      </c>
      <c r="N692" s="764">
        <f>VLOOKUP(J697,C704:P763,12)</f>
        <v>626724.43171071797</v>
      </c>
      <c r="O692" s="765">
        <f>+N692-M692</f>
        <v>0</v>
      </c>
      <c r="Q692" s="683"/>
    </row>
    <row r="693" spans="1:17">
      <c r="B693" s="332"/>
      <c r="C693" s="685" t="s">
        <v>293</v>
      </c>
      <c r="D693" s="1544" t="s">
        <v>981</v>
      </c>
      <c r="E693" s="1544"/>
      <c r="F693" s="1544"/>
      <c r="G693" s="1544"/>
      <c r="H693" s="1544"/>
      <c r="I693" s="647"/>
      <c r="J693" s="647"/>
      <c r="K693" s="670"/>
      <c r="L693" s="763" t="s">
        <v>456</v>
      </c>
      <c r="M693" s="766">
        <f>VLOOKUP(J697,C704:P763,6)</f>
        <v>618734.6188012748</v>
      </c>
      <c r="N693" s="766">
        <f>VLOOKUP(J697,C704:P763,7)</f>
        <v>618734.6188012748</v>
      </c>
      <c r="O693" s="767">
        <f>+N693-M693</f>
        <v>0</v>
      </c>
      <c r="Q693" s="670"/>
    </row>
    <row r="694" spans="1:17" ht="13.5" thickBot="1">
      <c r="B694" s="332"/>
      <c r="C694" s="687"/>
      <c r="D694" s="688"/>
      <c r="E694" s="672"/>
      <c r="F694" s="672"/>
      <c r="G694" s="672"/>
      <c r="H694" s="689"/>
      <c r="I694" s="647"/>
      <c r="J694" s="647"/>
      <c r="K694" s="670"/>
      <c r="L694" s="708" t="s">
        <v>457</v>
      </c>
      <c r="M694" s="768">
        <f>+M693-M692</f>
        <v>-7989.8129094431642</v>
      </c>
      <c r="N694" s="768">
        <f>+N693-N692</f>
        <v>-7989.8129094431642</v>
      </c>
      <c r="O694" s="769">
        <f>+O693-O692</f>
        <v>0</v>
      </c>
      <c r="Q694" s="670"/>
    </row>
    <row r="695" spans="1:17" ht="13.5" thickBot="1">
      <c r="B695" s="332"/>
      <c r="C695" s="690"/>
      <c r="D695" s="691"/>
      <c r="E695" s="689"/>
      <c r="F695" s="689"/>
      <c r="G695" s="689"/>
      <c r="H695" s="689"/>
      <c r="I695" s="689"/>
      <c r="J695" s="689"/>
      <c r="K695" s="692"/>
      <c r="L695" s="689"/>
      <c r="M695" s="689"/>
      <c r="N695" s="689"/>
      <c r="O695" s="689"/>
      <c r="P695" s="577"/>
      <c r="Q695" s="692"/>
    </row>
    <row r="696" spans="1:17" ht="13.5" thickBot="1">
      <c r="B696" s="332"/>
      <c r="C696" s="694" t="s">
        <v>294</v>
      </c>
      <c r="D696" s="695"/>
      <c r="E696" s="695"/>
      <c r="F696" s="695"/>
      <c r="G696" s="695"/>
      <c r="H696" s="695"/>
      <c r="I696" s="695"/>
      <c r="J696" s="695"/>
      <c r="K696" s="697"/>
      <c r="P696" s="698"/>
      <c r="Q696" s="697"/>
    </row>
    <row r="697" spans="1:17" ht="15">
      <c r="A697" s="693"/>
      <c r="B697" s="332"/>
      <c r="C697" s="700" t="s">
        <v>272</v>
      </c>
      <c r="D697" s="1256">
        <v>5483985.8899999997</v>
      </c>
      <c r="E697" s="656" t="s">
        <v>273</v>
      </c>
      <c r="H697" s="701"/>
      <c r="I697" s="701"/>
      <c r="J697" s="702">
        <f>$J$95</f>
        <v>2020</v>
      </c>
      <c r="K697" s="587"/>
      <c r="L697" s="1545" t="s">
        <v>274</v>
      </c>
      <c r="M697" s="1545"/>
      <c r="N697" s="1545"/>
      <c r="O697" s="1545"/>
      <c r="P697" s="589"/>
      <c r="Q697" s="587"/>
    </row>
    <row r="698" spans="1:17">
      <c r="A698" s="693"/>
      <c r="B698" s="332"/>
      <c r="C698" s="700" t="s">
        <v>275</v>
      </c>
      <c r="D698" s="872">
        <v>2015</v>
      </c>
      <c r="E698" s="700" t="s">
        <v>276</v>
      </c>
      <c r="F698" s="701"/>
      <c r="G698" s="701"/>
      <c r="I698" s="332"/>
      <c r="J698" s="875">
        <v>0</v>
      </c>
      <c r="K698" s="703"/>
      <c r="L698" s="670" t="s">
        <v>475</v>
      </c>
      <c r="P698" s="589"/>
      <c r="Q698" s="703"/>
    </row>
    <row r="699" spans="1:17">
      <c r="A699" s="693"/>
      <c r="B699" s="332"/>
      <c r="C699" s="700" t="s">
        <v>277</v>
      </c>
      <c r="D699" s="1257">
        <v>12</v>
      </c>
      <c r="E699" s="700" t="s">
        <v>278</v>
      </c>
      <c r="F699" s="701"/>
      <c r="G699" s="701"/>
      <c r="I699" s="332"/>
      <c r="J699" s="704">
        <f>$F$70</f>
        <v>0.1009634410531228</v>
      </c>
      <c r="K699" s="705"/>
      <c r="L699" s="541" t="str">
        <f>"          INPUT TRUE-UP ARR (WITH &amp; WITHOUT INCENTIVES) FROM EACH PRIOR YEAR"</f>
        <v xml:space="preserve">          INPUT TRUE-UP ARR (WITH &amp; WITHOUT INCENTIVES) FROM EACH PRIOR YEAR</v>
      </c>
      <c r="P699" s="589"/>
      <c r="Q699" s="705"/>
    </row>
    <row r="700" spans="1:17">
      <c r="A700" s="693"/>
      <c r="B700" s="332"/>
      <c r="C700" s="700" t="s">
        <v>279</v>
      </c>
      <c r="D700" s="706">
        <f>H79</f>
        <v>46</v>
      </c>
      <c r="E700" s="700" t="s">
        <v>280</v>
      </c>
      <c r="F700" s="701"/>
      <c r="G700" s="701"/>
      <c r="I700" s="332"/>
      <c r="J700" s="704">
        <f>IF(H691="",J699,$F$69)</f>
        <v>0.1009634410531228</v>
      </c>
      <c r="K700" s="707"/>
      <c r="L700" s="541" t="s">
        <v>362</v>
      </c>
      <c r="M700" s="707"/>
      <c r="N700" s="707"/>
      <c r="O700" s="707"/>
      <c r="P700" s="589"/>
      <c r="Q700" s="707"/>
    </row>
    <row r="701" spans="1:17" ht="13.5" thickBot="1">
      <c r="A701" s="693"/>
      <c r="B701" s="332"/>
      <c r="C701" s="700" t="s">
        <v>281</v>
      </c>
      <c r="D701" s="874" t="s">
        <v>974</v>
      </c>
      <c r="E701" s="708" t="s">
        <v>282</v>
      </c>
      <c r="F701" s="709"/>
      <c r="G701" s="709"/>
      <c r="H701" s="710"/>
      <c r="I701" s="710"/>
      <c r="J701" s="686">
        <f>IF(D697=0,0,D697/D700)</f>
        <v>119217.08456521739</v>
      </c>
      <c r="K701" s="670"/>
      <c r="L701" s="670" t="s">
        <v>363</v>
      </c>
      <c r="M701" s="670"/>
      <c r="N701" s="670"/>
      <c r="O701" s="670"/>
      <c r="P701" s="589"/>
      <c r="Q701" s="670"/>
    </row>
    <row r="702" spans="1:17" ht="38.25">
      <c r="A702" s="528"/>
      <c r="B702" s="528"/>
      <c r="C702" s="711" t="s">
        <v>272</v>
      </c>
      <c r="D702" s="712" t="s">
        <v>283</v>
      </c>
      <c r="E702" s="713" t="s">
        <v>284</v>
      </c>
      <c r="F702" s="712" t="s">
        <v>285</v>
      </c>
      <c r="G702" s="712" t="s">
        <v>458</v>
      </c>
      <c r="H702" s="713" t="s">
        <v>356</v>
      </c>
      <c r="I702" s="714" t="s">
        <v>356</v>
      </c>
      <c r="J702" s="711" t="s">
        <v>295</v>
      </c>
      <c r="K702" s="715"/>
      <c r="L702" s="713" t="s">
        <v>358</v>
      </c>
      <c r="M702" s="713" t="s">
        <v>364</v>
      </c>
      <c r="N702" s="713" t="s">
        <v>358</v>
      </c>
      <c r="O702" s="713" t="s">
        <v>366</v>
      </c>
      <c r="P702" s="713" t="s">
        <v>286</v>
      </c>
      <c r="Q702" s="716"/>
    </row>
    <row r="703" spans="1:17" ht="13.5" thickBot="1">
      <c r="B703" s="332"/>
      <c r="C703" s="717" t="s">
        <v>177</v>
      </c>
      <c r="D703" s="718" t="s">
        <v>178</v>
      </c>
      <c r="E703" s="717" t="s">
        <v>37</v>
      </c>
      <c r="F703" s="718" t="s">
        <v>178</v>
      </c>
      <c r="G703" s="718" t="s">
        <v>178</v>
      </c>
      <c r="H703" s="719" t="s">
        <v>298</v>
      </c>
      <c r="I703" s="720" t="s">
        <v>300</v>
      </c>
      <c r="J703" s="721" t="s">
        <v>389</v>
      </c>
      <c r="K703" s="722"/>
      <c r="L703" s="719" t="s">
        <v>287</v>
      </c>
      <c r="M703" s="719" t="s">
        <v>287</v>
      </c>
      <c r="N703" s="719" t="s">
        <v>467</v>
      </c>
      <c r="O703" s="719" t="s">
        <v>467</v>
      </c>
      <c r="P703" s="719" t="s">
        <v>467</v>
      </c>
      <c r="Q703" s="587"/>
    </row>
    <row r="704" spans="1:17">
      <c r="B704" s="332"/>
      <c r="C704" s="723">
        <f>IF(D698= "","-",D698)</f>
        <v>2015</v>
      </c>
      <c r="D704" s="674">
        <f>+D697</f>
        <v>5483985.8899999997</v>
      </c>
      <c r="E704" s="724">
        <f>+J701/12*(12-D699)</f>
        <v>0</v>
      </c>
      <c r="F704" s="770">
        <f t="shared" ref="F704:F763" si="64">+D704-E704</f>
        <v>5483985.8899999997</v>
      </c>
      <c r="G704" s="674">
        <f t="shared" ref="G704:G763" si="65">+(D704+F704)/2</f>
        <v>5483985.8899999997</v>
      </c>
      <c r="H704" s="725">
        <f>+J699*G704+E704</f>
        <v>553682.0861411721</v>
      </c>
      <c r="I704" s="726">
        <f>+J700*G704+E704</f>
        <v>553682.0861411721</v>
      </c>
      <c r="J704" s="727">
        <f t="shared" ref="J704:J763" si="66">+I704-H704</f>
        <v>0</v>
      </c>
      <c r="K704" s="727"/>
      <c r="L704" s="728">
        <v>9.9999999999999995E-7</v>
      </c>
      <c r="M704" s="771">
        <f t="shared" ref="M704:M763" si="67">IF(L704&lt;&gt;0,+H704-L704,0)</f>
        <v>553682.08614017209</v>
      </c>
      <c r="N704" s="728">
        <v>9.9999999999999995E-7</v>
      </c>
      <c r="O704" s="771">
        <f t="shared" ref="O704:O763" si="68">IF(N704&lt;&gt;0,+I704-N704,0)</f>
        <v>553682.08614017209</v>
      </c>
      <c r="P704" s="771">
        <f t="shared" ref="P704:P763" si="69">+O704-M704</f>
        <v>0</v>
      </c>
      <c r="Q704" s="675"/>
    </row>
    <row r="705" spans="2:17">
      <c r="B705" s="332"/>
      <c r="C705" s="723">
        <f>IF(D698="","-",+C704+1)</f>
        <v>2016</v>
      </c>
      <c r="D705" s="674">
        <f t="shared" ref="D705:D763" si="70">F704</f>
        <v>5483985.8899999997</v>
      </c>
      <c r="E705" s="730">
        <f>IF(D705&gt;$J$701,$J$701,D705)</f>
        <v>119217.08456521739</v>
      </c>
      <c r="F705" s="730">
        <f t="shared" si="64"/>
        <v>5364768.8054347821</v>
      </c>
      <c r="G705" s="674">
        <f t="shared" si="65"/>
        <v>5424377.3477173913</v>
      </c>
      <c r="H705" s="724">
        <f>+J699*G705+E705</f>
        <v>666880.88716137677</v>
      </c>
      <c r="I705" s="731">
        <f>+J700*G705+E705</f>
        <v>666880.88716137677</v>
      </c>
      <c r="J705" s="727">
        <f t="shared" si="66"/>
        <v>0</v>
      </c>
      <c r="K705" s="727"/>
      <c r="L705" s="1299">
        <v>780577</v>
      </c>
      <c r="M705" s="727">
        <f t="shared" si="67"/>
        <v>-113696.11283862323</v>
      </c>
      <c r="N705" s="1299">
        <v>780577</v>
      </c>
      <c r="O705" s="727">
        <f t="shared" si="68"/>
        <v>-113696.11283862323</v>
      </c>
      <c r="P705" s="727">
        <f t="shared" si="69"/>
        <v>0</v>
      </c>
      <c r="Q705" s="675"/>
    </row>
    <row r="706" spans="2:17">
      <c r="B706" s="332"/>
      <c r="C706" s="723">
        <f>IF(D698="","-",+C705+1)</f>
        <v>2017</v>
      </c>
      <c r="D706" s="1270">
        <f t="shared" si="70"/>
        <v>5364768.8054347821</v>
      </c>
      <c r="E706" s="730">
        <f t="shared" ref="E706:E763" si="71">IF(D706&gt;$J$701,$J$701,D706)</f>
        <v>119217.08456521739</v>
      </c>
      <c r="F706" s="730">
        <f t="shared" si="64"/>
        <v>5245551.7208695645</v>
      </c>
      <c r="G706" s="674">
        <f t="shared" si="65"/>
        <v>5305160.2631521728</v>
      </c>
      <c r="H706" s="724">
        <f>+J699*G706+E706</f>
        <v>654844.32007135125</v>
      </c>
      <c r="I706" s="731">
        <f>+J700*G706+E706</f>
        <v>654844.32007135125</v>
      </c>
      <c r="J706" s="727">
        <f t="shared" si="66"/>
        <v>0</v>
      </c>
      <c r="K706" s="727"/>
      <c r="L706" s="732">
        <v>779062</v>
      </c>
      <c r="M706" s="727">
        <f t="shared" si="67"/>
        <v>-124217.67992864875</v>
      </c>
      <c r="N706" s="732">
        <v>779062</v>
      </c>
      <c r="O706" s="727">
        <f t="shared" si="68"/>
        <v>-124217.67992864875</v>
      </c>
      <c r="P706" s="727">
        <f t="shared" si="69"/>
        <v>0</v>
      </c>
      <c r="Q706" s="675"/>
    </row>
    <row r="707" spans="2:17">
      <c r="B707" s="332"/>
      <c r="C707" s="723">
        <f>IF(D698="","-",+C706+1)</f>
        <v>2018</v>
      </c>
      <c r="D707" s="1453">
        <f t="shared" si="70"/>
        <v>5245551.7208695645</v>
      </c>
      <c r="E707" s="730">
        <f t="shared" si="71"/>
        <v>119217.08456521739</v>
      </c>
      <c r="F707" s="730">
        <f t="shared" si="64"/>
        <v>5126334.6363043468</v>
      </c>
      <c r="G707" s="674">
        <f t="shared" si="65"/>
        <v>5185943.1785869561</v>
      </c>
      <c r="H707" s="724">
        <f>+J699*G707+E707</f>
        <v>642807.75298132584</v>
      </c>
      <c r="I707" s="731">
        <f>+J700*G707+E707</f>
        <v>642807.75298132584</v>
      </c>
      <c r="J707" s="727">
        <f t="shared" si="66"/>
        <v>0</v>
      </c>
      <c r="K707" s="727"/>
      <c r="L707" s="732">
        <v>672821</v>
      </c>
      <c r="M707" s="727">
        <f t="shared" si="67"/>
        <v>-30013.247018674156</v>
      </c>
      <c r="N707" s="732">
        <v>672821</v>
      </c>
      <c r="O707" s="727">
        <f t="shared" si="68"/>
        <v>-30013.247018674156</v>
      </c>
      <c r="P707" s="727">
        <f t="shared" si="69"/>
        <v>0</v>
      </c>
      <c r="Q707" s="675"/>
    </row>
    <row r="708" spans="2:17">
      <c r="B708" s="332"/>
      <c r="C708" s="723">
        <f>IF(D698="","-",+C707+1)</f>
        <v>2019</v>
      </c>
      <c r="D708" s="1270">
        <f t="shared" si="70"/>
        <v>5126334.6363043468</v>
      </c>
      <c r="E708" s="730">
        <f t="shared" si="71"/>
        <v>119217.08456521739</v>
      </c>
      <c r="F708" s="730">
        <f t="shared" si="64"/>
        <v>5007117.5517391292</v>
      </c>
      <c r="G708" s="674">
        <f t="shared" si="65"/>
        <v>5066726.0940217376</v>
      </c>
      <c r="H708" s="724">
        <f>+J699*G708+E708</f>
        <v>630771.18589130021</v>
      </c>
      <c r="I708" s="731">
        <f>+J700*G708+E708</f>
        <v>630771.18589130021</v>
      </c>
      <c r="J708" s="727">
        <f t="shared" si="66"/>
        <v>0</v>
      </c>
      <c r="K708" s="727"/>
      <c r="L708" s="732">
        <v>658757</v>
      </c>
      <c r="M708" s="727">
        <f t="shared" si="67"/>
        <v>-27985.814108699793</v>
      </c>
      <c r="N708" s="732">
        <v>658757</v>
      </c>
      <c r="O708" s="727">
        <f t="shared" si="68"/>
        <v>-27985.814108699793</v>
      </c>
      <c r="P708" s="727">
        <f t="shared" si="69"/>
        <v>0</v>
      </c>
      <c r="Q708" s="675"/>
    </row>
    <row r="709" spans="2:17">
      <c r="B709" s="332"/>
      <c r="C709" s="723">
        <f>IF(D698="","-",+C708+1)</f>
        <v>2020</v>
      </c>
      <c r="D709" s="674">
        <f t="shared" si="70"/>
        <v>5007117.5517391292</v>
      </c>
      <c r="E709" s="730">
        <f t="shared" si="71"/>
        <v>119217.08456521739</v>
      </c>
      <c r="F709" s="730">
        <f t="shared" si="64"/>
        <v>4887900.4671739116</v>
      </c>
      <c r="G709" s="674">
        <f t="shared" si="65"/>
        <v>4947509.0094565209</v>
      </c>
      <c r="H709" s="724">
        <f>+J699*G709+E709</f>
        <v>618734.6188012748</v>
      </c>
      <c r="I709" s="731">
        <f>+J700*G709+E709</f>
        <v>618734.6188012748</v>
      </c>
      <c r="J709" s="727">
        <f t="shared" si="66"/>
        <v>0</v>
      </c>
      <c r="K709" s="727"/>
      <c r="L709" s="732">
        <v>626724.43171071797</v>
      </c>
      <c r="M709" s="727">
        <f t="shared" si="67"/>
        <v>-7989.8129094431642</v>
      </c>
      <c r="N709" s="732">
        <v>626724.43171071797</v>
      </c>
      <c r="O709" s="727">
        <f t="shared" si="68"/>
        <v>-7989.8129094431642</v>
      </c>
      <c r="P709" s="727">
        <f t="shared" si="69"/>
        <v>0</v>
      </c>
      <c r="Q709" s="675"/>
    </row>
    <row r="710" spans="2:17">
      <c r="B710" s="332"/>
      <c r="C710" s="723">
        <f>IF(D698="","-",+C709+1)</f>
        <v>2021</v>
      </c>
      <c r="D710" s="674">
        <f t="shared" si="70"/>
        <v>4887900.4671739116</v>
      </c>
      <c r="E710" s="730">
        <f t="shared" si="71"/>
        <v>119217.08456521739</v>
      </c>
      <c r="F710" s="730">
        <f t="shared" si="64"/>
        <v>4768683.382608694</v>
      </c>
      <c r="G710" s="674">
        <f t="shared" si="65"/>
        <v>4828291.9248913024</v>
      </c>
      <c r="H710" s="724">
        <f>+J699*G710+E710</f>
        <v>606698.05171124917</v>
      </c>
      <c r="I710" s="731">
        <f>+J700*G710+E710</f>
        <v>606698.05171124917</v>
      </c>
      <c r="J710" s="727">
        <f t="shared" si="66"/>
        <v>0</v>
      </c>
      <c r="K710" s="727"/>
      <c r="L710" s="732">
        <v>0</v>
      </c>
      <c r="M710" s="727">
        <f t="shared" si="67"/>
        <v>0</v>
      </c>
      <c r="N710" s="732">
        <v>0</v>
      </c>
      <c r="O710" s="727">
        <f t="shared" si="68"/>
        <v>0</v>
      </c>
      <c r="P710" s="727">
        <f t="shared" si="69"/>
        <v>0</v>
      </c>
      <c r="Q710" s="675"/>
    </row>
    <row r="711" spans="2:17">
      <c r="B711" s="332"/>
      <c r="C711" s="723">
        <f>IF(D698="","-",+C710+1)</f>
        <v>2022</v>
      </c>
      <c r="D711" s="674">
        <f t="shared" si="70"/>
        <v>4768683.382608694</v>
      </c>
      <c r="E711" s="730">
        <f t="shared" si="71"/>
        <v>119217.08456521739</v>
      </c>
      <c r="F711" s="730">
        <f t="shared" si="64"/>
        <v>4649466.2980434764</v>
      </c>
      <c r="G711" s="674">
        <f t="shared" si="65"/>
        <v>4709074.8403260857</v>
      </c>
      <c r="H711" s="724">
        <f>+J699*G711+E711</f>
        <v>594661.48462122376</v>
      </c>
      <c r="I711" s="731">
        <f>+J700*G711+E711</f>
        <v>594661.48462122376</v>
      </c>
      <c r="J711" s="727">
        <f t="shared" si="66"/>
        <v>0</v>
      </c>
      <c r="K711" s="727"/>
      <c r="L711" s="732">
        <v>0</v>
      </c>
      <c r="M711" s="727">
        <f t="shared" si="67"/>
        <v>0</v>
      </c>
      <c r="N711" s="732">
        <v>0</v>
      </c>
      <c r="O711" s="727">
        <f t="shared" si="68"/>
        <v>0</v>
      </c>
      <c r="P711" s="727">
        <f t="shared" si="69"/>
        <v>0</v>
      </c>
      <c r="Q711" s="675"/>
    </row>
    <row r="712" spans="2:17">
      <c r="B712" s="332"/>
      <c r="C712" s="723">
        <f>IF(D698="","-",+C711+1)</f>
        <v>2023</v>
      </c>
      <c r="D712" s="674">
        <f t="shared" si="70"/>
        <v>4649466.2980434764</v>
      </c>
      <c r="E712" s="730">
        <f t="shared" si="71"/>
        <v>119217.08456521739</v>
      </c>
      <c r="F712" s="730">
        <f t="shared" si="64"/>
        <v>4530249.2134782588</v>
      </c>
      <c r="G712" s="674">
        <f t="shared" si="65"/>
        <v>4589857.7557608671</v>
      </c>
      <c r="H712" s="724">
        <f>+J699*G712+E712</f>
        <v>582624.91753119824</v>
      </c>
      <c r="I712" s="731">
        <f>+J700*G712+E712</f>
        <v>582624.91753119824</v>
      </c>
      <c r="J712" s="727">
        <f t="shared" si="66"/>
        <v>0</v>
      </c>
      <c r="K712" s="727"/>
      <c r="L712" s="732">
        <v>0</v>
      </c>
      <c r="M712" s="727">
        <f t="shared" si="67"/>
        <v>0</v>
      </c>
      <c r="N712" s="732">
        <v>0</v>
      </c>
      <c r="O712" s="727">
        <f t="shared" si="68"/>
        <v>0</v>
      </c>
      <c r="P712" s="727">
        <f t="shared" si="69"/>
        <v>0</v>
      </c>
      <c r="Q712" s="675"/>
    </row>
    <row r="713" spans="2:17">
      <c r="B713" s="332"/>
      <c r="C713" s="723">
        <f>IF(D698="","-",+C712+1)</f>
        <v>2024</v>
      </c>
      <c r="D713" s="674">
        <f t="shared" si="70"/>
        <v>4530249.2134782588</v>
      </c>
      <c r="E713" s="730">
        <f t="shared" si="71"/>
        <v>119217.08456521739</v>
      </c>
      <c r="F713" s="730">
        <f t="shared" si="64"/>
        <v>4411032.1289130412</v>
      </c>
      <c r="G713" s="674">
        <f t="shared" si="65"/>
        <v>4470640.6711956505</v>
      </c>
      <c r="H713" s="724">
        <f>+J699*G713+E713</f>
        <v>570588.35044117284</v>
      </c>
      <c r="I713" s="731">
        <f>+J700*G713+E713</f>
        <v>570588.35044117284</v>
      </c>
      <c r="J713" s="727">
        <f t="shared" si="66"/>
        <v>0</v>
      </c>
      <c r="K713" s="727"/>
      <c r="L713" s="732">
        <v>0</v>
      </c>
      <c r="M713" s="727">
        <f t="shared" si="67"/>
        <v>0</v>
      </c>
      <c r="N713" s="732">
        <v>0</v>
      </c>
      <c r="O713" s="727">
        <f t="shared" si="68"/>
        <v>0</v>
      </c>
      <c r="P713" s="727">
        <f t="shared" si="69"/>
        <v>0</v>
      </c>
      <c r="Q713" s="675"/>
    </row>
    <row r="714" spans="2:17">
      <c r="B714" s="332"/>
      <c r="C714" s="723">
        <f>IF(D698="","-",+C713+1)</f>
        <v>2025</v>
      </c>
      <c r="D714" s="674">
        <f t="shared" si="70"/>
        <v>4411032.1289130412</v>
      </c>
      <c r="E714" s="730">
        <f t="shared" si="71"/>
        <v>119217.08456521739</v>
      </c>
      <c r="F714" s="730">
        <f t="shared" si="64"/>
        <v>4291815.0443478236</v>
      </c>
      <c r="G714" s="674">
        <f t="shared" si="65"/>
        <v>4351423.5866304319</v>
      </c>
      <c r="H714" s="724">
        <f>+J699*G714+E714</f>
        <v>558551.7833511472</v>
      </c>
      <c r="I714" s="731">
        <f>+J700*G714+E714</f>
        <v>558551.7833511472</v>
      </c>
      <c r="J714" s="727">
        <f t="shared" si="66"/>
        <v>0</v>
      </c>
      <c r="K714" s="727"/>
      <c r="L714" s="732">
        <v>0</v>
      </c>
      <c r="M714" s="727">
        <f t="shared" si="67"/>
        <v>0</v>
      </c>
      <c r="N714" s="732">
        <v>0</v>
      </c>
      <c r="O714" s="727">
        <f t="shared" si="68"/>
        <v>0</v>
      </c>
      <c r="P714" s="727">
        <f t="shared" si="69"/>
        <v>0</v>
      </c>
      <c r="Q714" s="675"/>
    </row>
    <row r="715" spans="2:17">
      <c r="B715" s="332"/>
      <c r="C715" s="723">
        <f>IF(D698="","-",+C714+1)</f>
        <v>2026</v>
      </c>
      <c r="D715" s="674">
        <f t="shared" si="70"/>
        <v>4291815.0443478236</v>
      </c>
      <c r="E715" s="730">
        <f t="shared" si="71"/>
        <v>119217.08456521739</v>
      </c>
      <c r="F715" s="730">
        <f t="shared" si="64"/>
        <v>4172597.959782606</v>
      </c>
      <c r="G715" s="674">
        <f t="shared" si="65"/>
        <v>4232206.5020652153</v>
      </c>
      <c r="H715" s="724">
        <f>+J699*G715+E715</f>
        <v>546515.21626112179</v>
      </c>
      <c r="I715" s="731">
        <f>+J700*G715+E715</f>
        <v>546515.21626112179</v>
      </c>
      <c r="J715" s="727">
        <f t="shared" si="66"/>
        <v>0</v>
      </c>
      <c r="K715" s="727"/>
      <c r="L715" s="732"/>
      <c r="M715" s="727">
        <f t="shared" si="67"/>
        <v>0</v>
      </c>
      <c r="N715" s="732"/>
      <c r="O715" s="727">
        <f t="shared" si="68"/>
        <v>0</v>
      </c>
      <c r="P715" s="727">
        <f t="shared" si="69"/>
        <v>0</v>
      </c>
      <c r="Q715" s="675"/>
    </row>
    <row r="716" spans="2:17">
      <c r="B716" s="332"/>
      <c r="C716" s="723">
        <f>IF(D698="","-",+C715+1)</f>
        <v>2027</v>
      </c>
      <c r="D716" s="674">
        <f t="shared" si="70"/>
        <v>4172597.959782606</v>
      </c>
      <c r="E716" s="730">
        <f t="shared" si="71"/>
        <v>119217.08456521739</v>
      </c>
      <c r="F716" s="730">
        <f t="shared" si="64"/>
        <v>4053380.8752173884</v>
      </c>
      <c r="G716" s="674">
        <f t="shared" si="65"/>
        <v>4112989.4174999972</v>
      </c>
      <c r="H716" s="724">
        <f>+J699*G716+E716</f>
        <v>534478.64917109627</v>
      </c>
      <c r="I716" s="731">
        <f>+J700*G716+E716</f>
        <v>534478.64917109627</v>
      </c>
      <c r="J716" s="727">
        <f t="shared" si="66"/>
        <v>0</v>
      </c>
      <c r="K716" s="727"/>
      <c r="L716" s="732"/>
      <c r="M716" s="727">
        <f t="shared" si="67"/>
        <v>0</v>
      </c>
      <c r="N716" s="732"/>
      <c r="O716" s="727">
        <f t="shared" si="68"/>
        <v>0</v>
      </c>
      <c r="P716" s="727">
        <f t="shared" si="69"/>
        <v>0</v>
      </c>
      <c r="Q716" s="675"/>
    </row>
    <row r="717" spans="2:17">
      <c r="B717" s="332"/>
      <c r="C717" s="723">
        <f>IF(D698="","-",+C716+1)</f>
        <v>2028</v>
      </c>
      <c r="D717" s="674">
        <f t="shared" si="70"/>
        <v>4053380.8752173884</v>
      </c>
      <c r="E717" s="730">
        <f t="shared" si="71"/>
        <v>119217.08456521739</v>
      </c>
      <c r="F717" s="730">
        <f t="shared" si="64"/>
        <v>3934163.7906521708</v>
      </c>
      <c r="G717" s="674">
        <f t="shared" si="65"/>
        <v>3993772.3329347796</v>
      </c>
      <c r="H717" s="724">
        <f>+J699*G717+E717</f>
        <v>522442.08208107069</v>
      </c>
      <c r="I717" s="731">
        <f>+J700*G717+E717</f>
        <v>522442.08208107069</v>
      </c>
      <c r="J717" s="727">
        <f t="shared" si="66"/>
        <v>0</v>
      </c>
      <c r="K717" s="727"/>
      <c r="L717" s="732"/>
      <c r="M717" s="727">
        <f t="shared" si="67"/>
        <v>0</v>
      </c>
      <c r="N717" s="732"/>
      <c r="O717" s="727">
        <f t="shared" si="68"/>
        <v>0</v>
      </c>
      <c r="P717" s="727">
        <f t="shared" si="69"/>
        <v>0</v>
      </c>
      <c r="Q717" s="675"/>
    </row>
    <row r="718" spans="2:17">
      <c r="B718" s="332"/>
      <c r="C718" s="723">
        <f>IF(D698="","-",+C717+1)</f>
        <v>2029</v>
      </c>
      <c r="D718" s="674">
        <f t="shared" si="70"/>
        <v>3934163.7906521708</v>
      </c>
      <c r="E718" s="730">
        <f t="shared" si="71"/>
        <v>119217.08456521739</v>
      </c>
      <c r="F718" s="730">
        <f t="shared" si="64"/>
        <v>3814946.7060869532</v>
      </c>
      <c r="G718" s="674">
        <f t="shared" si="65"/>
        <v>3874555.248369562</v>
      </c>
      <c r="H718" s="724">
        <f>+J699*G718+E718</f>
        <v>510405.51499104523</v>
      </c>
      <c r="I718" s="731">
        <f>+J700*G718+E718</f>
        <v>510405.51499104523</v>
      </c>
      <c r="J718" s="727">
        <f t="shared" si="66"/>
        <v>0</v>
      </c>
      <c r="K718" s="727"/>
      <c r="L718" s="732"/>
      <c r="M718" s="727">
        <f t="shared" si="67"/>
        <v>0</v>
      </c>
      <c r="N718" s="732"/>
      <c r="O718" s="727">
        <f t="shared" si="68"/>
        <v>0</v>
      </c>
      <c r="P718" s="727">
        <f t="shared" si="69"/>
        <v>0</v>
      </c>
      <c r="Q718" s="675"/>
    </row>
    <row r="719" spans="2:17">
      <c r="B719" s="332"/>
      <c r="C719" s="723">
        <f>IF(D698="","-",+C718+1)</f>
        <v>2030</v>
      </c>
      <c r="D719" s="674">
        <f t="shared" si="70"/>
        <v>3814946.7060869532</v>
      </c>
      <c r="E719" s="730">
        <f t="shared" si="71"/>
        <v>119217.08456521739</v>
      </c>
      <c r="F719" s="730">
        <f t="shared" si="64"/>
        <v>3695729.6215217356</v>
      </c>
      <c r="G719" s="674">
        <f t="shared" si="65"/>
        <v>3755338.1638043444</v>
      </c>
      <c r="H719" s="724">
        <f>+J699*G719+E719</f>
        <v>498368.94790101971</v>
      </c>
      <c r="I719" s="731">
        <f>+J700*G719+E719</f>
        <v>498368.94790101971</v>
      </c>
      <c r="J719" s="727">
        <f t="shared" si="66"/>
        <v>0</v>
      </c>
      <c r="K719" s="727"/>
      <c r="L719" s="732"/>
      <c r="M719" s="727">
        <f t="shared" si="67"/>
        <v>0</v>
      </c>
      <c r="N719" s="732"/>
      <c r="O719" s="727">
        <f t="shared" si="68"/>
        <v>0</v>
      </c>
      <c r="P719" s="727">
        <f t="shared" si="69"/>
        <v>0</v>
      </c>
      <c r="Q719" s="675"/>
    </row>
    <row r="720" spans="2:17">
      <c r="B720" s="332"/>
      <c r="C720" s="723">
        <f>IF(D698="","-",+C719+1)</f>
        <v>2031</v>
      </c>
      <c r="D720" s="674">
        <f t="shared" si="70"/>
        <v>3695729.6215217356</v>
      </c>
      <c r="E720" s="730">
        <f t="shared" si="71"/>
        <v>119217.08456521739</v>
      </c>
      <c r="F720" s="730">
        <f t="shared" si="64"/>
        <v>3576512.536956518</v>
      </c>
      <c r="G720" s="674">
        <f t="shared" si="65"/>
        <v>3636121.0792391268</v>
      </c>
      <c r="H720" s="724">
        <f>+J699*G720+E720</f>
        <v>486332.38081099419</v>
      </c>
      <c r="I720" s="731">
        <f>+J700*G720+E720</f>
        <v>486332.38081099419</v>
      </c>
      <c r="J720" s="727">
        <f t="shared" si="66"/>
        <v>0</v>
      </c>
      <c r="K720" s="727"/>
      <c r="L720" s="732"/>
      <c r="M720" s="727">
        <f t="shared" si="67"/>
        <v>0</v>
      </c>
      <c r="N720" s="732"/>
      <c r="O720" s="727">
        <f t="shared" si="68"/>
        <v>0</v>
      </c>
      <c r="P720" s="727">
        <f t="shared" si="69"/>
        <v>0</v>
      </c>
      <c r="Q720" s="675"/>
    </row>
    <row r="721" spans="2:17">
      <c r="B721" s="332"/>
      <c r="C721" s="723">
        <f>IF(D698="","-",+C720+1)</f>
        <v>2032</v>
      </c>
      <c r="D721" s="674">
        <f t="shared" si="70"/>
        <v>3576512.536956518</v>
      </c>
      <c r="E721" s="730">
        <f t="shared" si="71"/>
        <v>119217.08456521739</v>
      </c>
      <c r="F721" s="730">
        <f t="shared" si="64"/>
        <v>3457295.4523913004</v>
      </c>
      <c r="G721" s="674">
        <f t="shared" si="65"/>
        <v>3516903.9946739092</v>
      </c>
      <c r="H721" s="724">
        <f>+J699*G721+E721</f>
        <v>474295.81372096873</v>
      </c>
      <c r="I721" s="731">
        <f>+J700*G721+E721</f>
        <v>474295.81372096873</v>
      </c>
      <c r="J721" s="727">
        <f t="shared" si="66"/>
        <v>0</v>
      </c>
      <c r="K721" s="727"/>
      <c r="L721" s="732"/>
      <c r="M721" s="727">
        <f t="shared" si="67"/>
        <v>0</v>
      </c>
      <c r="N721" s="732"/>
      <c r="O721" s="727">
        <f t="shared" si="68"/>
        <v>0</v>
      </c>
      <c r="P721" s="727">
        <f t="shared" si="69"/>
        <v>0</v>
      </c>
      <c r="Q721" s="675"/>
    </row>
    <row r="722" spans="2:17">
      <c r="B722" s="332"/>
      <c r="C722" s="723">
        <f>IF(D698="","-",+C721+1)</f>
        <v>2033</v>
      </c>
      <c r="D722" s="674">
        <f t="shared" si="70"/>
        <v>3457295.4523913004</v>
      </c>
      <c r="E722" s="730">
        <f t="shared" si="71"/>
        <v>119217.08456521739</v>
      </c>
      <c r="F722" s="730">
        <f t="shared" si="64"/>
        <v>3338078.3678260827</v>
      </c>
      <c r="G722" s="674">
        <f t="shared" si="65"/>
        <v>3397686.9101086915</v>
      </c>
      <c r="H722" s="724">
        <f>+J699*G722+E722</f>
        <v>462259.24663094321</v>
      </c>
      <c r="I722" s="731">
        <f>+J700*G722+E722</f>
        <v>462259.24663094321</v>
      </c>
      <c r="J722" s="727">
        <f t="shared" si="66"/>
        <v>0</v>
      </c>
      <c r="K722" s="727"/>
      <c r="L722" s="732"/>
      <c r="M722" s="727">
        <f t="shared" si="67"/>
        <v>0</v>
      </c>
      <c r="N722" s="732"/>
      <c r="O722" s="727">
        <f t="shared" si="68"/>
        <v>0</v>
      </c>
      <c r="P722" s="727">
        <f t="shared" si="69"/>
        <v>0</v>
      </c>
      <c r="Q722" s="675"/>
    </row>
    <row r="723" spans="2:17">
      <c r="B723" s="332"/>
      <c r="C723" s="723">
        <f>IF(D698="","-",+C722+1)</f>
        <v>2034</v>
      </c>
      <c r="D723" s="674">
        <f t="shared" si="70"/>
        <v>3338078.3678260827</v>
      </c>
      <c r="E723" s="730">
        <f t="shared" si="71"/>
        <v>119217.08456521739</v>
      </c>
      <c r="F723" s="730">
        <f t="shared" si="64"/>
        <v>3218861.2832608651</v>
      </c>
      <c r="G723" s="674">
        <f t="shared" si="65"/>
        <v>3278469.8255434739</v>
      </c>
      <c r="H723" s="724">
        <f>+J699*G723+E723</f>
        <v>450222.67954091768</v>
      </c>
      <c r="I723" s="731">
        <f>+J700*G723+E723</f>
        <v>450222.67954091768</v>
      </c>
      <c r="J723" s="727">
        <f t="shared" si="66"/>
        <v>0</v>
      </c>
      <c r="K723" s="727"/>
      <c r="L723" s="732"/>
      <c r="M723" s="727">
        <f t="shared" si="67"/>
        <v>0</v>
      </c>
      <c r="N723" s="732"/>
      <c r="O723" s="727">
        <f t="shared" si="68"/>
        <v>0</v>
      </c>
      <c r="P723" s="727">
        <f t="shared" si="69"/>
        <v>0</v>
      </c>
      <c r="Q723" s="675"/>
    </row>
    <row r="724" spans="2:17">
      <c r="B724" s="332"/>
      <c r="C724" s="723">
        <f>IF(D698="","-",+C723+1)</f>
        <v>2035</v>
      </c>
      <c r="D724" s="674">
        <f t="shared" si="70"/>
        <v>3218861.2832608651</v>
      </c>
      <c r="E724" s="730">
        <f t="shared" si="71"/>
        <v>119217.08456521739</v>
      </c>
      <c r="F724" s="730">
        <f t="shared" si="64"/>
        <v>3099644.1986956475</v>
      </c>
      <c r="G724" s="674">
        <f t="shared" si="65"/>
        <v>3159252.7409782563</v>
      </c>
      <c r="H724" s="724">
        <f>+J699*G724+E724</f>
        <v>438186.11245089216</v>
      </c>
      <c r="I724" s="731">
        <f>+J700*G724+E724</f>
        <v>438186.11245089216</v>
      </c>
      <c r="J724" s="727">
        <f t="shared" si="66"/>
        <v>0</v>
      </c>
      <c r="K724" s="727"/>
      <c r="L724" s="732"/>
      <c r="M724" s="727">
        <f t="shared" si="67"/>
        <v>0</v>
      </c>
      <c r="N724" s="732"/>
      <c r="O724" s="727">
        <f t="shared" si="68"/>
        <v>0</v>
      </c>
      <c r="P724" s="727">
        <f t="shared" si="69"/>
        <v>0</v>
      </c>
      <c r="Q724" s="675"/>
    </row>
    <row r="725" spans="2:17">
      <c r="B725" s="332"/>
      <c r="C725" s="723">
        <f>IF(D698="","-",+C724+1)</f>
        <v>2036</v>
      </c>
      <c r="D725" s="674">
        <f t="shared" si="70"/>
        <v>3099644.1986956475</v>
      </c>
      <c r="E725" s="730">
        <f t="shared" si="71"/>
        <v>119217.08456521739</v>
      </c>
      <c r="F725" s="730">
        <f t="shared" si="64"/>
        <v>2980427.1141304299</v>
      </c>
      <c r="G725" s="674">
        <f t="shared" si="65"/>
        <v>3040035.6564130387</v>
      </c>
      <c r="H725" s="724">
        <f>+J699*G725+E725</f>
        <v>426149.5453608667</v>
      </c>
      <c r="I725" s="731">
        <f>+J700*G725+E725</f>
        <v>426149.5453608667</v>
      </c>
      <c r="J725" s="727">
        <f t="shared" si="66"/>
        <v>0</v>
      </c>
      <c r="K725" s="727"/>
      <c r="L725" s="732"/>
      <c r="M725" s="727">
        <f t="shared" si="67"/>
        <v>0</v>
      </c>
      <c r="N725" s="732"/>
      <c r="O725" s="727">
        <f t="shared" si="68"/>
        <v>0</v>
      </c>
      <c r="P725" s="727">
        <f t="shared" si="69"/>
        <v>0</v>
      </c>
      <c r="Q725" s="675"/>
    </row>
    <row r="726" spans="2:17">
      <c r="B726" s="332"/>
      <c r="C726" s="723">
        <f>IF(D698="","-",+C725+1)</f>
        <v>2037</v>
      </c>
      <c r="D726" s="674">
        <f t="shared" si="70"/>
        <v>2980427.1141304299</v>
      </c>
      <c r="E726" s="730">
        <f t="shared" si="71"/>
        <v>119217.08456521739</v>
      </c>
      <c r="F726" s="730">
        <f t="shared" si="64"/>
        <v>2861210.0295652123</v>
      </c>
      <c r="G726" s="674">
        <f t="shared" si="65"/>
        <v>2920818.5718478211</v>
      </c>
      <c r="H726" s="724">
        <f>+J699*G726+E726</f>
        <v>414112.97827084118</v>
      </c>
      <c r="I726" s="731">
        <f>+J700*G726+E726</f>
        <v>414112.97827084118</v>
      </c>
      <c r="J726" s="727">
        <f t="shared" si="66"/>
        <v>0</v>
      </c>
      <c r="K726" s="727"/>
      <c r="L726" s="732"/>
      <c r="M726" s="727">
        <f t="shared" si="67"/>
        <v>0</v>
      </c>
      <c r="N726" s="732"/>
      <c r="O726" s="727">
        <f t="shared" si="68"/>
        <v>0</v>
      </c>
      <c r="P726" s="727">
        <f t="shared" si="69"/>
        <v>0</v>
      </c>
      <c r="Q726" s="675"/>
    </row>
    <row r="727" spans="2:17">
      <c r="B727" s="332"/>
      <c r="C727" s="723">
        <f>IF(D698="","-",+C726+1)</f>
        <v>2038</v>
      </c>
      <c r="D727" s="674">
        <f t="shared" si="70"/>
        <v>2861210.0295652123</v>
      </c>
      <c r="E727" s="730">
        <f t="shared" si="71"/>
        <v>119217.08456521739</v>
      </c>
      <c r="F727" s="730">
        <f t="shared" si="64"/>
        <v>2741992.9449999947</v>
      </c>
      <c r="G727" s="674">
        <f t="shared" si="65"/>
        <v>2801601.4872826035</v>
      </c>
      <c r="H727" s="724">
        <f>+J699*G727+E727</f>
        <v>402076.41118081566</v>
      </c>
      <c r="I727" s="731">
        <f>+J700*G727+E727</f>
        <v>402076.41118081566</v>
      </c>
      <c r="J727" s="727">
        <f t="shared" si="66"/>
        <v>0</v>
      </c>
      <c r="K727" s="727"/>
      <c r="L727" s="732"/>
      <c r="M727" s="727">
        <f t="shared" si="67"/>
        <v>0</v>
      </c>
      <c r="N727" s="732"/>
      <c r="O727" s="727">
        <f t="shared" si="68"/>
        <v>0</v>
      </c>
      <c r="P727" s="727">
        <f t="shared" si="69"/>
        <v>0</v>
      </c>
      <c r="Q727" s="675"/>
    </row>
    <row r="728" spans="2:17">
      <c r="B728" s="332"/>
      <c r="C728" s="723">
        <f>IF(D698="","-",+C727+1)</f>
        <v>2039</v>
      </c>
      <c r="D728" s="674">
        <f t="shared" si="70"/>
        <v>2741992.9449999947</v>
      </c>
      <c r="E728" s="730">
        <f t="shared" si="71"/>
        <v>119217.08456521739</v>
      </c>
      <c r="F728" s="730">
        <f t="shared" si="64"/>
        <v>2622775.8604347771</v>
      </c>
      <c r="G728" s="674">
        <f t="shared" si="65"/>
        <v>2682384.4027173859</v>
      </c>
      <c r="H728" s="724">
        <f>+J699*G728+E728</f>
        <v>390039.8440907902</v>
      </c>
      <c r="I728" s="731">
        <f>+J700*G728+E728</f>
        <v>390039.8440907902</v>
      </c>
      <c r="J728" s="727">
        <f t="shared" si="66"/>
        <v>0</v>
      </c>
      <c r="K728" s="727"/>
      <c r="L728" s="732"/>
      <c r="M728" s="727">
        <f t="shared" si="67"/>
        <v>0</v>
      </c>
      <c r="N728" s="732"/>
      <c r="O728" s="727">
        <f t="shared" si="68"/>
        <v>0</v>
      </c>
      <c r="P728" s="727">
        <f t="shared" si="69"/>
        <v>0</v>
      </c>
      <c r="Q728" s="675"/>
    </row>
    <row r="729" spans="2:17">
      <c r="B729" s="332"/>
      <c r="C729" s="723">
        <f>IF(D698="","-",+C728+1)</f>
        <v>2040</v>
      </c>
      <c r="D729" s="674">
        <f t="shared" si="70"/>
        <v>2622775.8604347771</v>
      </c>
      <c r="E729" s="730">
        <f t="shared" si="71"/>
        <v>119217.08456521739</v>
      </c>
      <c r="F729" s="730">
        <f t="shared" si="64"/>
        <v>2503558.7758695595</v>
      </c>
      <c r="G729" s="674">
        <f t="shared" si="65"/>
        <v>2563167.3181521683</v>
      </c>
      <c r="H729" s="724">
        <f>+J699*G729+E729</f>
        <v>378003.27700076468</v>
      </c>
      <c r="I729" s="731">
        <f>+J700*G729+E729</f>
        <v>378003.27700076468</v>
      </c>
      <c r="J729" s="727">
        <f t="shared" si="66"/>
        <v>0</v>
      </c>
      <c r="K729" s="727"/>
      <c r="L729" s="732"/>
      <c r="M729" s="727">
        <f t="shared" si="67"/>
        <v>0</v>
      </c>
      <c r="N729" s="732"/>
      <c r="O729" s="727">
        <f t="shared" si="68"/>
        <v>0</v>
      </c>
      <c r="P729" s="727">
        <f t="shared" si="69"/>
        <v>0</v>
      </c>
      <c r="Q729" s="675"/>
    </row>
    <row r="730" spans="2:17">
      <c r="B730" s="332"/>
      <c r="C730" s="723">
        <f>IF(D698="","-",+C729+1)</f>
        <v>2041</v>
      </c>
      <c r="D730" s="674">
        <f t="shared" si="70"/>
        <v>2503558.7758695595</v>
      </c>
      <c r="E730" s="730">
        <f t="shared" si="71"/>
        <v>119217.08456521739</v>
      </c>
      <c r="F730" s="730">
        <f t="shared" si="64"/>
        <v>2384341.6913043419</v>
      </c>
      <c r="G730" s="674">
        <f t="shared" si="65"/>
        <v>2443950.2335869507</v>
      </c>
      <c r="H730" s="724">
        <f>+J699*G730+E730</f>
        <v>365966.70991073916</v>
      </c>
      <c r="I730" s="731">
        <f>+J700*G730+E730</f>
        <v>365966.70991073916</v>
      </c>
      <c r="J730" s="727">
        <f t="shared" si="66"/>
        <v>0</v>
      </c>
      <c r="K730" s="727"/>
      <c r="L730" s="732"/>
      <c r="M730" s="727">
        <f t="shared" si="67"/>
        <v>0</v>
      </c>
      <c r="N730" s="732"/>
      <c r="O730" s="727">
        <f t="shared" si="68"/>
        <v>0</v>
      </c>
      <c r="P730" s="727">
        <f t="shared" si="69"/>
        <v>0</v>
      </c>
      <c r="Q730" s="675"/>
    </row>
    <row r="731" spans="2:17">
      <c r="B731" s="332"/>
      <c r="C731" s="723">
        <f>IF(D698="","-",+C730+1)</f>
        <v>2042</v>
      </c>
      <c r="D731" s="674">
        <f t="shared" si="70"/>
        <v>2384341.6913043419</v>
      </c>
      <c r="E731" s="730">
        <f t="shared" si="71"/>
        <v>119217.08456521739</v>
      </c>
      <c r="F731" s="730">
        <f t="shared" si="64"/>
        <v>2265124.6067391243</v>
      </c>
      <c r="G731" s="674">
        <f t="shared" si="65"/>
        <v>2324733.1490217331</v>
      </c>
      <c r="H731" s="724">
        <f>+J699*G731+E731</f>
        <v>353930.14282071369</v>
      </c>
      <c r="I731" s="731">
        <f>+J700*G731+E731</f>
        <v>353930.14282071369</v>
      </c>
      <c r="J731" s="727">
        <f t="shared" si="66"/>
        <v>0</v>
      </c>
      <c r="K731" s="727"/>
      <c r="L731" s="732"/>
      <c r="M731" s="727">
        <f t="shared" si="67"/>
        <v>0</v>
      </c>
      <c r="N731" s="732"/>
      <c r="O731" s="727">
        <f t="shared" si="68"/>
        <v>0</v>
      </c>
      <c r="P731" s="727">
        <f t="shared" si="69"/>
        <v>0</v>
      </c>
      <c r="Q731" s="675"/>
    </row>
    <row r="732" spans="2:17">
      <c r="B732" s="332"/>
      <c r="C732" s="723">
        <f>IF(D698="","-",+C731+1)</f>
        <v>2043</v>
      </c>
      <c r="D732" s="674">
        <f t="shared" si="70"/>
        <v>2265124.6067391243</v>
      </c>
      <c r="E732" s="730">
        <f t="shared" si="71"/>
        <v>119217.08456521739</v>
      </c>
      <c r="F732" s="730">
        <f t="shared" si="64"/>
        <v>2145907.5221739067</v>
      </c>
      <c r="G732" s="674">
        <f t="shared" si="65"/>
        <v>2205516.0644565155</v>
      </c>
      <c r="H732" s="724">
        <f>+J699*G732+E732</f>
        <v>341893.57573068817</v>
      </c>
      <c r="I732" s="731">
        <f>+J700*G732+E732</f>
        <v>341893.57573068817</v>
      </c>
      <c r="J732" s="727">
        <f t="shared" si="66"/>
        <v>0</v>
      </c>
      <c r="K732" s="727"/>
      <c r="L732" s="732"/>
      <c r="M732" s="727">
        <f t="shared" si="67"/>
        <v>0</v>
      </c>
      <c r="N732" s="732"/>
      <c r="O732" s="727">
        <f t="shared" si="68"/>
        <v>0</v>
      </c>
      <c r="P732" s="727">
        <f t="shared" si="69"/>
        <v>0</v>
      </c>
      <c r="Q732" s="675"/>
    </row>
    <row r="733" spans="2:17">
      <c r="B733" s="332"/>
      <c r="C733" s="723">
        <f>IF(D698="","-",+C732+1)</f>
        <v>2044</v>
      </c>
      <c r="D733" s="674">
        <f t="shared" si="70"/>
        <v>2145907.5221739067</v>
      </c>
      <c r="E733" s="730">
        <f t="shared" si="71"/>
        <v>119217.08456521739</v>
      </c>
      <c r="F733" s="730">
        <f t="shared" si="64"/>
        <v>2026690.4376086893</v>
      </c>
      <c r="G733" s="674">
        <f t="shared" si="65"/>
        <v>2086298.9798912979</v>
      </c>
      <c r="H733" s="724">
        <f>+J699*G733+E733</f>
        <v>329857.00864066265</v>
      </c>
      <c r="I733" s="731">
        <f>+J700*G733+E733</f>
        <v>329857.00864066265</v>
      </c>
      <c r="J733" s="727">
        <f t="shared" si="66"/>
        <v>0</v>
      </c>
      <c r="K733" s="727"/>
      <c r="L733" s="732"/>
      <c r="M733" s="727">
        <f t="shared" si="67"/>
        <v>0</v>
      </c>
      <c r="N733" s="732"/>
      <c r="O733" s="727">
        <f t="shared" si="68"/>
        <v>0</v>
      </c>
      <c r="P733" s="727">
        <f t="shared" si="69"/>
        <v>0</v>
      </c>
      <c r="Q733" s="675"/>
    </row>
    <row r="734" spans="2:17">
      <c r="B734" s="332"/>
      <c r="C734" s="723">
        <f>IF(D698="","-",+C733+1)</f>
        <v>2045</v>
      </c>
      <c r="D734" s="674">
        <f t="shared" si="70"/>
        <v>2026690.4376086893</v>
      </c>
      <c r="E734" s="730">
        <f t="shared" si="71"/>
        <v>119217.08456521739</v>
      </c>
      <c r="F734" s="730">
        <f t="shared" si="64"/>
        <v>1907473.3530434719</v>
      </c>
      <c r="G734" s="674">
        <f t="shared" si="65"/>
        <v>1967081.8953260807</v>
      </c>
      <c r="H734" s="724">
        <f>+J699*G734+E734</f>
        <v>317820.44155063719</v>
      </c>
      <c r="I734" s="731">
        <f>+J700*G734+E734</f>
        <v>317820.44155063719</v>
      </c>
      <c r="J734" s="727">
        <f t="shared" si="66"/>
        <v>0</v>
      </c>
      <c r="K734" s="727"/>
      <c r="L734" s="732"/>
      <c r="M734" s="727">
        <f t="shared" si="67"/>
        <v>0</v>
      </c>
      <c r="N734" s="732"/>
      <c r="O734" s="727">
        <f t="shared" si="68"/>
        <v>0</v>
      </c>
      <c r="P734" s="727">
        <f t="shared" si="69"/>
        <v>0</v>
      </c>
      <c r="Q734" s="675"/>
    </row>
    <row r="735" spans="2:17">
      <c r="B735" s="332"/>
      <c r="C735" s="723">
        <f>IF(D698="","-",+C734+1)</f>
        <v>2046</v>
      </c>
      <c r="D735" s="674">
        <f t="shared" si="70"/>
        <v>1907473.3530434719</v>
      </c>
      <c r="E735" s="730">
        <f t="shared" si="71"/>
        <v>119217.08456521739</v>
      </c>
      <c r="F735" s="730">
        <f t="shared" si="64"/>
        <v>1788256.2684782546</v>
      </c>
      <c r="G735" s="674">
        <f t="shared" si="65"/>
        <v>1847864.8107608631</v>
      </c>
      <c r="H735" s="724">
        <f>+J699*G735+E735</f>
        <v>305783.87446061173</v>
      </c>
      <c r="I735" s="731">
        <f>+J700*G735+E735</f>
        <v>305783.87446061173</v>
      </c>
      <c r="J735" s="727">
        <f t="shared" si="66"/>
        <v>0</v>
      </c>
      <c r="K735" s="727"/>
      <c r="L735" s="732"/>
      <c r="M735" s="727">
        <f t="shared" si="67"/>
        <v>0</v>
      </c>
      <c r="N735" s="732"/>
      <c r="O735" s="727">
        <f t="shared" si="68"/>
        <v>0</v>
      </c>
      <c r="P735" s="727">
        <f t="shared" si="69"/>
        <v>0</v>
      </c>
      <c r="Q735" s="675"/>
    </row>
    <row r="736" spans="2:17">
      <c r="B736" s="332"/>
      <c r="C736" s="723">
        <f>IF(D698="","-",+C735+1)</f>
        <v>2047</v>
      </c>
      <c r="D736" s="674">
        <f t="shared" si="70"/>
        <v>1788256.2684782546</v>
      </c>
      <c r="E736" s="730">
        <f t="shared" si="71"/>
        <v>119217.08456521739</v>
      </c>
      <c r="F736" s="730">
        <f t="shared" si="64"/>
        <v>1669039.1839130372</v>
      </c>
      <c r="G736" s="674">
        <f t="shared" si="65"/>
        <v>1728647.726195646</v>
      </c>
      <c r="H736" s="724">
        <f>+J699*G736+E736</f>
        <v>293747.30737058626</v>
      </c>
      <c r="I736" s="731">
        <f>+J700*G736+E736</f>
        <v>293747.30737058626</v>
      </c>
      <c r="J736" s="727">
        <f t="shared" si="66"/>
        <v>0</v>
      </c>
      <c r="K736" s="727"/>
      <c r="L736" s="732"/>
      <c r="M736" s="727">
        <f t="shared" si="67"/>
        <v>0</v>
      </c>
      <c r="N736" s="732"/>
      <c r="O736" s="727">
        <f t="shared" si="68"/>
        <v>0</v>
      </c>
      <c r="P736" s="727">
        <f t="shared" si="69"/>
        <v>0</v>
      </c>
      <c r="Q736" s="675"/>
    </row>
    <row r="737" spans="2:17">
      <c r="B737" s="332"/>
      <c r="C737" s="723">
        <f>IF(D698="","-",+C736+1)</f>
        <v>2048</v>
      </c>
      <c r="D737" s="674">
        <f t="shared" si="70"/>
        <v>1669039.1839130372</v>
      </c>
      <c r="E737" s="730">
        <f t="shared" si="71"/>
        <v>119217.08456521739</v>
      </c>
      <c r="F737" s="730">
        <f t="shared" si="64"/>
        <v>1549822.0993478198</v>
      </c>
      <c r="G737" s="674">
        <f t="shared" si="65"/>
        <v>1609430.6416304284</v>
      </c>
      <c r="H737" s="724">
        <f>+J699*G737+E737</f>
        <v>281710.74028056074</v>
      </c>
      <c r="I737" s="731">
        <f>+J700*G737+E737</f>
        <v>281710.74028056074</v>
      </c>
      <c r="J737" s="727">
        <f t="shared" si="66"/>
        <v>0</v>
      </c>
      <c r="K737" s="727"/>
      <c r="L737" s="732"/>
      <c r="M737" s="727">
        <f t="shared" si="67"/>
        <v>0</v>
      </c>
      <c r="N737" s="732"/>
      <c r="O737" s="727">
        <f t="shared" si="68"/>
        <v>0</v>
      </c>
      <c r="P737" s="727">
        <f t="shared" si="69"/>
        <v>0</v>
      </c>
      <c r="Q737" s="675"/>
    </row>
    <row r="738" spans="2:17">
      <c r="B738" s="332"/>
      <c r="C738" s="723">
        <f>IF(D698="","-",+C737+1)</f>
        <v>2049</v>
      </c>
      <c r="D738" s="674">
        <f t="shared" si="70"/>
        <v>1549822.0993478198</v>
      </c>
      <c r="E738" s="730">
        <f t="shared" si="71"/>
        <v>119217.08456521739</v>
      </c>
      <c r="F738" s="730">
        <f t="shared" si="64"/>
        <v>1430605.0147826024</v>
      </c>
      <c r="G738" s="674">
        <f t="shared" si="65"/>
        <v>1490213.5570652112</v>
      </c>
      <c r="H738" s="724">
        <f>+J699*G738+E738</f>
        <v>269674.17319053528</v>
      </c>
      <c r="I738" s="731">
        <f>+J700*G738+E738</f>
        <v>269674.17319053528</v>
      </c>
      <c r="J738" s="727">
        <f t="shared" si="66"/>
        <v>0</v>
      </c>
      <c r="K738" s="727"/>
      <c r="L738" s="732"/>
      <c r="M738" s="727">
        <f t="shared" si="67"/>
        <v>0</v>
      </c>
      <c r="N738" s="732"/>
      <c r="O738" s="727">
        <f t="shared" si="68"/>
        <v>0</v>
      </c>
      <c r="P738" s="727">
        <f t="shared" si="69"/>
        <v>0</v>
      </c>
      <c r="Q738" s="675"/>
    </row>
    <row r="739" spans="2:17">
      <c r="B739" s="332"/>
      <c r="C739" s="723">
        <f>IF(D698="","-",+C738+1)</f>
        <v>2050</v>
      </c>
      <c r="D739" s="674">
        <f t="shared" si="70"/>
        <v>1430605.0147826024</v>
      </c>
      <c r="E739" s="730">
        <f t="shared" si="71"/>
        <v>119217.08456521739</v>
      </c>
      <c r="F739" s="730">
        <f t="shared" si="64"/>
        <v>1311387.9302173851</v>
      </c>
      <c r="G739" s="674">
        <f t="shared" si="65"/>
        <v>1370996.4724999936</v>
      </c>
      <c r="H739" s="724">
        <f>+J699*G739+E739</f>
        <v>257637.60610050982</v>
      </c>
      <c r="I739" s="731">
        <f>+J700*G739+E739</f>
        <v>257637.60610050982</v>
      </c>
      <c r="J739" s="727">
        <f t="shared" si="66"/>
        <v>0</v>
      </c>
      <c r="K739" s="727"/>
      <c r="L739" s="732"/>
      <c r="M739" s="727">
        <f t="shared" si="67"/>
        <v>0</v>
      </c>
      <c r="N739" s="732"/>
      <c r="O739" s="727">
        <f t="shared" si="68"/>
        <v>0</v>
      </c>
      <c r="P739" s="727">
        <f t="shared" si="69"/>
        <v>0</v>
      </c>
      <c r="Q739" s="675"/>
    </row>
    <row r="740" spans="2:17">
      <c r="B740" s="332"/>
      <c r="C740" s="723">
        <f>IF(D698="","-",+C739+1)</f>
        <v>2051</v>
      </c>
      <c r="D740" s="674">
        <f t="shared" si="70"/>
        <v>1311387.9302173851</v>
      </c>
      <c r="E740" s="730">
        <f t="shared" si="71"/>
        <v>119217.08456521739</v>
      </c>
      <c r="F740" s="730">
        <f t="shared" si="64"/>
        <v>1192170.8456521677</v>
      </c>
      <c r="G740" s="674">
        <f t="shared" si="65"/>
        <v>1251779.3879347765</v>
      </c>
      <c r="H740" s="724">
        <f>+J699*G740+E740</f>
        <v>245601.03901048432</v>
      </c>
      <c r="I740" s="731">
        <f>+J700*G740+E740</f>
        <v>245601.03901048432</v>
      </c>
      <c r="J740" s="727">
        <f t="shared" si="66"/>
        <v>0</v>
      </c>
      <c r="K740" s="727"/>
      <c r="L740" s="732"/>
      <c r="M740" s="727">
        <f t="shared" si="67"/>
        <v>0</v>
      </c>
      <c r="N740" s="732"/>
      <c r="O740" s="727">
        <f t="shared" si="68"/>
        <v>0</v>
      </c>
      <c r="P740" s="727">
        <f t="shared" si="69"/>
        <v>0</v>
      </c>
      <c r="Q740" s="675"/>
    </row>
    <row r="741" spans="2:17">
      <c r="B741" s="332"/>
      <c r="C741" s="723">
        <f>IF(D698="","-",+C740+1)</f>
        <v>2052</v>
      </c>
      <c r="D741" s="674">
        <f t="shared" si="70"/>
        <v>1192170.8456521677</v>
      </c>
      <c r="E741" s="730">
        <f t="shared" si="71"/>
        <v>119217.08456521739</v>
      </c>
      <c r="F741" s="730">
        <f t="shared" si="64"/>
        <v>1072953.7610869503</v>
      </c>
      <c r="G741" s="674">
        <f t="shared" si="65"/>
        <v>1132562.3033695589</v>
      </c>
      <c r="H741" s="724">
        <f>+J699*G741+E741</f>
        <v>233564.47192045883</v>
      </c>
      <c r="I741" s="731">
        <f>+J700*G741+E741</f>
        <v>233564.47192045883</v>
      </c>
      <c r="J741" s="727">
        <f t="shared" si="66"/>
        <v>0</v>
      </c>
      <c r="K741" s="727"/>
      <c r="L741" s="732"/>
      <c r="M741" s="727">
        <f t="shared" si="67"/>
        <v>0</v>
      </c>
      <c r="N741" s="732"/>
      <c r="O741" s="727">
        <f t="shared" si="68"/>
        <v>0</v>
      </c>
      <c r="P741" s="727">
        <f t="shared" si="69"/>
        <v>0</v>
      </c>
      <c r="Q741" s="675"/>
    </row>
    <row r="742" spans="2:17">
      <c r="B742" s="332"/>
      <c r="C742" s="723">
        <f>IF(D698="","-",+C741+1)</f>
        <v>2053</v>
      </c>
      <c r="D742" s="674">
        <f t="shared" si="70"/>
        <v>1072953.7610869503</v>
      </c>
      <c r="E742" s="730">
        <f t="shared" si="71"/>
        <v>119217.08456521739</v>
      </c>
      <c r="F742" s="730">
        <f t="shared" si="64"/>
        <v>953736.67652173294</v>
      </c>
      <c r="G742" s="674">
        <f t="shared" si="65"/>
        <v>1013345.2188043416</v>
      </c>
      <c r="H742" s="724">
        <f>+J699*G742+E742</f>
        <v>221527.90483043337</v>
      </c>
      <c r="I742" s="731">
        <f>+J700*G742+E742</f>
        <v>221527.90483043337</v>
      </c>
      <c r="J742" s="727">
        <f t="shared" si="66"/>
        <v>0</v>
      </c>
      <c r="K742" s="727"/>
      <c r="L742" s="732"/>
      <c r="M742" s="727">
        <f t="shared" si="67"/>
        <v>0</v>
      </c>
      <c r="N742" s="732"/>
      <c r="O742" s="727">
        <f t="shared" si="68"/>
        <v>0</v>
      </c>
      <c r="P742" s="727">
        <f t="shared" si="69"/>
        <v>0</v>
      </c>
      <c r="Q742" s="675"/>
    </row>
    <row r="743" spans="2:17">
      <c r="B743" s="332"/>
      <c r="C743" s="723">
        <f>IF(D698="","-",+C742+1)</f>
        <v>2054</v>
      </c>
      <c r="D743" s="674">
        <f t="shared" si="70"/>
        <v>953736.67652173294</v>
      </c>
      <c r="E743" s="730">
        <f t="shared" si="71"/>
        <v>119217.08456521739</v>
      </c>
      <c r="F743" s="730">
        <f t="shared" si="64"/>
        <v>834519.59195651556</v>
      </c>
      <c r="G743" s="674">
        <f t="shared" si="65"/>
        <v>894128.13423912425</v>
      </c>
      <c r="H743" s="724">
        <f>+J699*G743+E743</f>
        <v>209491.33774040788</v>
      </c>
      <c r="I743" s="731">
        <f>+J700*G743+E743</f>
        <v>209491.33774040788</v>
      </c>
      <c r="J743" s="727">
        <f t="shared" si="66"/>
        <v>0</v>
      </c>
      <c r="K743" s="727"/>
      <c r="L743" s="732"/>
      <c r="M743" s="727">
        <f t="shared" si="67"/>
        <v>0</v>
      </c>
      <c r="N743" s="732"/>
      <c r="O743" s="727">
        <f t="shared" si="68"/>
        <v>0</v>
      </c>
      <c r="P743" s="727">
        <f t="shared" si="69"/>
        <v>0</v>
      </c>
      <c r="Q743" s="675"/>
    </row>
    <row r="744" spans="2:17">
      <c r="B744" s="332"/>
      <c r="C744" s="723">
        <f>IF(D698="","-",+C743+1)</f>
        <v>2055</v>
      </c>
      <c r="D744" s="674">
        <f t="shared" si="70"/>
        <v>834519.59195651556</v>
      </c>
      <c r="E744" s="730">
        <f t="shared" si="71"/>
        <v>119217.08456521739</v>
      </c>
      <c r="F744" s="730">
        <f t="shared" si="64"/>
        <v>715302.50739129819</v>
      </c>
      <c r="G744" s="674">
        <f t="shared" si="65"/>
        <v>774911.04967390688</v>
      </c>
      <c r="H744" s="724">
        <f>+J699*G744+E744</f>
        <v>197454.77065038239</v>
      </c>
      <c r="I744" s="731">
        <f>+J700*G744+E744</f>
        <v>197454.77065038239</v>
      </c>
      <c r="J744" s="727">
        <f t="shared" si="66"/>
        <v>0</v>
      </c>
      <c r="K744" s="727"/>
      <c r="L744" s="732"/>
      <c r="M744" s="727">
        <f t="shared" si="67"/>
        <v>0</v>
      </c>
      <c r="N744" s="732"/>
      <c r="O744" s="727">
        <f t="shared" si="68"/>
        <v>0</v>
      </c>
      <c r="P744" s="727">
        <f t="shared" si="69"/>
        <v>0</v>
      </c>
      <c r="Q744" s="675"/>
    </row>
    <row r="745" spans="2:17">
      <c r="B745" s="332"/>
      <c r="C745" s="723">
        <f>IF(D698="","-",+C744+1)</f>
        <v>2056</v>
      </c>
      <c r="D745" s="674">
        <f t="shared" si="70"/>
        <v>715302.50739129819</v>
      </c>
      <c r="E745" s="730">
        <f t="shared" si="71"/>
        <v>119217.08456521739</v>
      </c>
      <c r="F745" s="730">
        <f t="shared" si="64"/>
        <v>596085.42282608082</v>
      </c>
      <c r="G745" s="674">
        <f t="shared" si="65"/>
        <v>655693.9651086895</v>
      </c>
      <c r="H745" s="724">
        <f>+J699*G745+E745</f>
        <v>185418.20356035692</v>
      </c>
      <c r="I745" s="731">
        <f>+J700*G745+E745</f>
        <v>185418.20356035692</v>
      </c>
      <c r="J745" s="727">
        <f t="shared" si="66"/>
        <v>0</v>
      </c>
      <c r="K745" s="727"/>
      <c r="L745" s="732"/>
      <c r="M745" s="727">
        <f t="shared" si="67"/>
        <v>0</v>
      </c>
      <c r="N745" s="732"/>
      <c r="O745" s="727">
        <f t="shared" si="68"/>
        <v>0</v>
      </c>
      <c r="P745" s="727">
        <f t="shared" si="69"/>
        <v>0</v>
      </c>
      <c r="Q745" s="675"/>
    </row>
    <row r="746" spans="2:17">
      <c r="B746" s="332"/>
      <c r="C746" s="723">
        <f>IF(D698="","-",+C745+1)</f>
        <v>2057</v>
      </c>
      <c r="D746" s="674">
        <f t="shared" si="70"/>
        <v>596085.42282608082</v>
      </c>
      <c r="E746" s="730">
        <f t="shared" si="71"/>
        <v>119217.08456521739</v>
      </c>
      <c r="F746" s="730">
        <f t="shared" si="64"/>
        <v>476868.33826086344</v>
      </c>
      <c r="G746" s="674">
        <f t="shared" si="65"/>
        <v>536476.88054347213</v>
      </c>
      <c r="H746" s="724">
        <f>+J699*G746+E746</f>
        <v>173381.63647033143</v>
      </c>
      <c r="I746" s="731">
        <f>+J700*G746+E746</f>
        <v>173381.63647033143</v>
      </c>
      <c r="J746" s="727">
        <f t="shared" si="66"/>
        <v>0</v>
      </c>
      <c r="K746" s="727"/>
      <c r="L746" s="732"/>
      <c r="M746" s="727">
        <f t="shared" si="67"/>
        <v>0</v>
      </c>
      <c r="N746" s="732"/>
      <c r="O746" s="727">
        <f t="shared" si="68"/>
        <v>0</v>
      </c>
      <c r="P746" s="727">
        <f t="shared" si="69"/>
        <v>0</v>
      </c>
      <c r="Q746" s="675"/>
    </row>
    <row r="747" spans="2:17">
      <c r="B747" s="332"/>
      <c r="C747" s="723">
        <f>IF(D698="","-",+C746+1)</f>
        <v>2058</v>
      </c>
      <c r="D747" s="674">
        <f t="shared" si="70"/>
        <v>476868.33826086344</v>
      </c>
      <c r="E747" s="730">
        <f t="shared" si="71"/>
        <v>119217.08456521739</v>
      </c>
      <c r="F747" s="730">
        <f t="shared" si="64"/>
        <v>357651.25369564607</v>
      </c>
      <c r="G747" s="674">
        <f t="shared" si="65"/>
        <v>417259.79597825476</v>
      </c>
      <c r="H747" s="724">
        <f>+J699*G747+E747</f>
        <v>161345.06938030594</v>
      </c>
      <c r="I747" s="731">
        <f>+J700*G747+E747</f>
        <v>161345.06938030594</v>
      </c>
      <c r="J747" s="727">
        <f t="shared" si="66"/>
        <v>0</v>
      </c>
      <c r="K747" s="727"/>
      <c r="L747" s="732"/>
      <c r="M747" s="727">
        <f t="shared" si="67"/>
        <v>0</v>
      </c>
      <c r="N747" s="732"/>
      <c r="O747" s="727">
        <f t="shared" si="68"/>
        <v>0</v>
      </c>
      <c r="P747" s="727">
        <f t="shared" si="69"/>
        <v>0</v>
      </c>
      <c r="Q747" s="675"/>
    </row>
    <row r="748" spans="2:17">
      <c r="B748" s="332"/>
      <c r="C748" s="723">
        <f>IF(D698="","-",+C747+1)</f>
        <v>2059</v>
      </c>
      <c r="D748" s="674">
        <f t="shared" si="70"/>
        <v>357651.25369564607</v>
      </c>
      <c r="E748" s="730">
        <f t="shared" si="71"/>
        <v>119217.08456521739</v>
      </c>
      <c r="F748" s="730">
        <f t="shared" si="64"/>
        <v>238434.16913042869</v>
      </c>
      <c r="G748" s="674">
        <f t="shared" si="65"/>
        <v>298042.71141303738</v>
      </c>
      <c r="H748" s="724">
        <f>+J699*G748+E748</f>
        <v>149308.50229028048</v>
      </c>
      <c r="I748" s="731">
        <f>+J700*G748+E748</f>
        <v>149308.50229028048</v>
      </c>
      <c r="J748" s="727">
        <f t="shared" si="66"/>
        <v>0</v>
      </c>
      <c r="K748" s="727"/>
      <c r="L748" s="732"/>
      <c r="M748" s="727">
        <f t="shared" si="67"/>
        <v>0</v>
      </c>
      <c r="N748" s="732"/>
      <c r="O748" s="727">
        <f t="shared" si="68"/>
        <v>0</v>
      </c>
      <c r="P748" s="727">
        <f t="shared" si="69"/>
        <v>0</v>
      </c>
      <c r="Q748" s="675"/>
    </row>
    <row r="749" spans="2:17">
      <c r="B749" s="332"/>
      <c r="C749" s="723">
        <f>IF(D698="","-",+C748+1)</f>
        <v>2060</v>
      </c>
      <c r="D749" s="674">
        <f t="shared" si="70"/>
        <v>238434.16913042869</v>
      </c>
      <c r="E749" s="730">
        <f t="shared" si="71"/>
        <v>119217.08456521739</v>
      </c>
      <c r="F749" s="730">
        <f t="shared" si="64"/>
        <v>119217.08456521131</v>
      </c>
      <c r="G749" s="674">
        <f t="shared" si="65"/>
        <v>178825.62684782001</v>
      </c>
      <c r="H749" s="724">
        <f>+J699*G749+E749</f>
        <v>137271.93520025499</v>
      </c>
      <c r="I749" s="731">
        <f>+J700*G749+E749</f>
        <v>137271.93520025499</v>
      </c>
      <c r="J749" s="727">
        <f t="shared" si="66"/>
        <v>0</v>
      </c>
      <c r="K749" s="727"/>
      <c r="L749" s="732"/>
      <c r="M749" s="727">
        <f t="shared" si="67"/>
        <v>0</v>
      </c>
      <c r="N749" s="732"/>
      <c r="O749" s="727">
        <f t="shared" si="68"/>
        <v>0</v>
      </c>
      <c r="P749" s="727">
        <f t="shared" si="69"/>
        <v>0</v>
      </c>
      <c r="Q749" s="675"/>
    </row>
    <row r="750" spans="2:17">
      <c r="B750" s="332"/>
      <c r="C750" s="723">
        <f>IF(D698="","-",+C749+1)</f>
        <v>2061</v>
      </c>
      <c r="D750" s="674">
        <f t="shared" si="70"/>
        <v>119217.08456521131</v>
      </c>
      <c r="E750" s="730">
        <f t="shared" si="71"/>
        <v>119217.08456521131</v>
      </c>
      <c r="F750" s="730">
        <f t="shared" si="64"/>
        <v>0</v>
      </c>
      <c r="G750" s="674">
        <f t="shared" si="65"/>
        <v>59608.542282605653</v>
      </c>
      <c r="H750" s="724">
        <f>+J699*G750+E750</f>
        <v>125235.36811022375</v>
      </c>
      <c r="I750" s="731">
        <f>+J700*G750+E750</f>
        <v>125235.36811022375</v>
      </c>
      <c r="J750" s="727">
        <f t="shared" si="66"/>
        <v>0</v>
      </c>
      <c r="K750" s="727"/>
      <c r="L750" s="732"/>
      <c r="M750" s="727">
        <f t="shared" si="67"/>
        <v>0</v>
      </c>
      <c r="N750" s="732"/>
      <c r="O750" s="727">
        <f t="shared" si="68"/>
        <v>0</v>
      </c>
      <c r="P750" s="727">
        <f t="shared" si="69"/>
        <v>0</v>
      </c>
      <c r="Q750" s="675"/>
    </row>
    <row r="751" spans="2:17">
      <c r="B751" s="332"/>
      <c r="C751" s="723">
        <f>IF(D698="","-",+C750+1)</f>
        <v>2062</v>
      </c>
      <c r="D751" s="674">
        <f t="shared" si="70"/>
        <v>0</v>
      </c>
      <c r="E751" s="730">
        <f t="shared" si="71"/>
        <v>0</v>
      </c>
      <c r="F751" s="730">
        <f t="shared" si="64"/>
        <v>0</v>
      </c>
      <c r="G751" s="674">
        <f t="shared" si="65"/>
        <v>0</v>
      </c>
      <c r="H751" s="724">
        <f>+J699*G751+E751</f>
        <v>0</v>
      </c>
      <c r="I751" s="731">
        <f>+J700*G751+E751</f>
        <v>0</v>
      </c>
      <c r="J751" s="727">
        <f t="shared" si="66"/>
        <v>0</v>
      </c>
      <c r="K751" s="727"/>
      <c r="L751" s="732"/>
      <c r="M751" s="727">
        <f t="shared" si="67"/>
        <v>0</v>
      </c>
      <c r="N751" s="732"/>
      <c r="O751" s="727">
        <f t="shared" si="68"/>
        <v>0</v>
      </c>
      <c r="P751" s="727">
        <f t="shared" si="69"/>
        <v>0</v>
      </c>
      <c r="Q751" s="675"/>
    </row>
    <row r="752" spans="2:17">
      <c r="B752" s="332"/>
      <c r="C752" s="723">
        <f>IF(D698="","-",+C751+1)</f>
        <v>2063</v>
      </c>
      <c r="D752" s="674">
        <f t="shared" si="70"/>
        <v>0</v>
      </c>
      <c r="E752" s="730">
        <f t="shared" si="71"/>
        <v>0</v>
      </c>
      <c r="F752" s="730">
        <f t="shared" si="64"/>
        <v>0</v>
      </c>
      <c r="G752" s="674">
        <f t="shared" si="65"/>
        <v>0</v>
      </c>
      <c r="H752" s="724">
        <f>+J699*G752+E752</f>
        <v>0</v>
      </c>
      <c r="I752" s="731">
        <f>+J700*G752+E752</f>
        <v>0</v>
      </c>
      <c r="J752" s="727">
        <f t="shared" si="66"/>
        <v>0</v>
      </c>
      <c r="K752" s="727"/>
      <c r="L752" s="732"/>
      <c r="M752" s="727">
        <f t="shared" si="67"/>
        <v>0</v>
      </c>
      <c r="N752" s="732"/>
      <c r="O752" s="727">
        <f t="shared" si="68"/>
        <v>0</v>
      </c>
      <c r="P752" s="727">
        <f t="shared" si="69"/>
        <v>0</v>
      </c>
      <c r="Q752" s="675"/>
    </row>
    <row r="753" spans="2:17">
      <c r="B753" s="332"/>
      <c r="C753" s="723">
        <f>IF(D698="","-",+C752+1)</f>
        <v>2064</v>
      </c>
      <c r="D753" s="674">
        <f t="shared" si="70"/>
        <v>0</v>
      </c>
      <c r="E753" s="730">
        <f t="shared" si="71"/>
        <v>0</v>
      </c>
      <c r="F753" s="730">
        <f t="shared" si="64"/>
        <v>0</v>
      </c>
      <c r="G753" s="674">
        <f t="shared" si="65"/>
        <v>0</v>
      </c>
      <c r="H753" s="724">
        <f>+J699*G753+E753</f>
        <v>0</v>
      </c>
      <c r="I753" s="731">
        <f>+J700*G753+E753</f>
        <v>0</v>
      </c>
      <c r="J753" s="727">
        <f t="shared" si="66"/>
        <v>0</v>
      </c>
      <c r="K753" s="727"/>
      <c r="L753" s="732"/>
      <c r="M753" s="727">
        <f t="shared" si="67"/>
        <v>0</v>
      </c>
      <c r="N753" s="732"/>
      <c r="O753" s="727">
        <f t="shared" si="68"/>
        <v>0</v>
      </c>
      <c r="P753" s="727">
        <f t="shared" si="69"/>
        <v>0</v>
      </c>
      <c r="Q753" s="675"/>
    </row>
    <row r="754" spans="2:17">
      <c r="B754" s="332"/>
      <c r="C754" s="723">
        <f>IF(D698="","-",+C753+1)</f>
        <v>2065</v>
      </c>
      <c r="D754" s="674">
        <f t="shared" si="70"/>
        <v>0</v>
      </c>
      <c r="E754" s="730">
        <f t="shared" si="71"/>
        <v>0</v>
      </c>
      <c r="F754" s="730">
        <f t="shared" si="64"/>
        <v>0</v>
      </c>
      <c r="G754" s="674">
        <f t="shared" si="65"/>
        <v>0</v>
      </c>
      <c r="H754" s="724">
        <f>+J699*G754+E754</f>
        <v>0</v>
      </c>
      <c r="I754" s="731">
        <f>+J700*G754+E754</f>
        <v>0</v>
      </c>
      <c r="J754" s="727">
        <f t="shared" si="66"/>
        <v>0</v>
      </c>
      <c r="K754" s="727"/>
      <c r="L754" s="732"/>
      <c r="M754" s="727">
        <f t="shared" si="67"/>
        <v>0</v>
      </c>
      <c r="N754" s="732"/>
      <c r="O754" s="727">
        <f t="shared" si="68"/>
        <v>0</v>
      </c>
      <c r="P754" s="727">
        <f t="shared" si="69"/>
        <v>0</v>
      </c>
      <c r="Q754" s="675"/>
    </row>
    <row r="755" spans="2:17">
      <c r="B755" s="332"/>
      <c r="C755" s="723">
        <f>IF(D698="","-",+C754+1)</f>
        <v>2066</v>
      </c>
      <c r="D755" s="674">
        <f t="shared" si="70"/>
        <v>0</v>
      </c>
      <c r="E755" s="730">
        <f t="shared" si="71"/>
        <v>0</v>
      </c>
      <c r="F755" s="730">
        <f t="shared" si="64"/>
        <v>0</v>
      </c>
      <c r="G755" s="674">
        <f t="shared" si="65"/>
        <v>0</v>
      </c>
      <c r="H755" s="724">
        <f>+J699*G755+E755</f>
        <v>0</v>
      </c>
      <c r="I755" s="731">
        <f>+J700*G755+E755</f>
        <v>0</v>
      </c>
      <c r="J755" s="727">
        <f t="shared" si="66"/>
        <v>0</v>
      </c>
      <c r="K755" s="727"/>
      <c r="L755" s="732"/>
      <c r="M755" s="727">
        <f t="shared" si="67"/>
        <v>0</v>
      </c>
      <c r="N755" s="732"/>
      <c r="O755" s="727">
        <f t="shared" si="68"/>
        <v>0</v>
      </c>
      <c r="P755" s="727">
        <f t="shared" si="69"/>
        <v>0</v>
      </c>
      <c r="Q755" s="675"/>
    </row>
    <row r="756" spans="2:17">
      <c r="B756" s="332"/>
      <c r="C756" s="723">
        <f>IF(D698="","-",+C755+1)</f>
        <v>2067</v>
      </c>
      <c r="D756" s="674">
        <f t="shared" si="70"/>
        <v>0</v>
      </c>
      <c r="E756" s="730">
        <f t="shared" si="71"/>
        <v>0</v>
      </c>
      <c r="F756" s="730">
        <f t="shared" si="64"/>
        <v>0</v>
      </c>
      <c r="G756" s="674">
        <f t="shared" si="65"/>
        <v>0</v>
      </c>
      <c r="H756" s="724">
        <f>+J699*G756+E756</f>
        <v>0</v>
      </c>
      <c r="I756" s="731">
        <f>+J700*G756+E756</f>
        <v>0</v>
      </c>
      <c r="J756" s="727">
        <f t="shared" si="66"/>
        <v>0</v>
      </c>
      <c r="K756" s="727"/>
      <c r="L756" s="732"/>
      <c r="M756" s="727">
        <f t="shared" si="67"/>
        <v>0</v>
      </c>
      <c r="N756" s="732"/>
      <c r="O756" s="727">
        <f t="shared" si="68"/>
        <v>0</v>
      </c>
      <c r="P756" s="727">
        <f t="shared" si="69"/>
        <v>0</v>
      </c>
      <c r="Q756" s="675"/>
    </row>
    <row r="757" spans="2:17">
      <c r="B757" s="332"/>
      <c r="C757" s="723">
        <f>IF(D698="","-",+C756+1)</f>
        <v>2068</v>
      </c>
      <c r="D757" s="674">
        <f t="shared" si="70"/>
        <v>0</v>
      </c>
      <c r="E757" s="730">
        <f t="shared" si="71"/>
        <v>0</v>
      </c>
      <c r="F757" s="730">
        <f t="shared" si="64"/>
        <v>0</v>
      </c>
      <c r="G757" s="674">
        <f t="shared" si="65"/>
        <v>0</v>
      </c>
      <c r="H757" s="724">
        <f>+J699*G757+E757</f>
        <v>0</v>
      </c>
      <c r="I757" s="731">
        <f>+J700*G757+E757</f>
        <v>0</v>
      </c>
      <c r="J757" s="727">
        <f t="shared" si="66"/>
        <v>0</v>
      </c>
      <c r="K757" s="727"/>
      <c r="L757" s="732"/>
      <c r="M757" s="727">
        <f t="shared" si="67"/>
        <v>0</v>
      </c>
      <c r="N757" s="732"/>
      <c r="O757" s="727">
        <f t="shared" si="68"/>
        <v>0</v>
      </c>
      <c r="P757" s="727">
        <f t="shared" si="69"/>
        <v>0</v>
      </c>
      <c r="Q757" s="675"/>
    </row>
    <row r="758" spans="2:17">
      <c r="B758" s="332"/>
      <c r="C758" s="723">
        <f>IF(D698="","-",+C757+1)</f>
        <v>2069</v>
      </c>
      <c r="D758" s="674">
        <f t="shared" si="70"/>
        <v>0</v>
      </c>
      <c r="E758" s="730">
        <f t="shared" si="71"/>
        <v>0</v>
      </c>
      <c r="F758" s="730">
        <f t="shared" si="64"/>
        <v>0</v>
      </c>
      <c r="G758" s="674">
        <f t="shared" si="65"/>
        <v>0</v>
      </c>
      <c r="H758" s="724">
        <f>+J699*G758+E758</f>
        <v>0</v>
      </c>
      <c r="I758" s="731">
        <f>+J700*G758+E758</f>
        <v>0</v>
      </c>
      <c r="J758" s="727">
        <f t="shared" si="66"/>
        <v>0</v>
      </c>
      <c r="K758" s="727"/>
      <c r="L758" s="732"/>
      <c r="M758" s="727">
        <f t="shared" si="67"/>
        <v>0</v>
      </c>
      <c r="N758" s="732"/>
      <c r="O758" s="727">
        <f t="shared" si="68"/>
        <v>0</v>
      </c>
      <c r="P758" s="727">
        <f t="shared" si="69"/>
        <v>0</v>
      </c>
      <c r="Q758" s="675"/>
    </row>
    <row r="759" spans="2:17">
      <c r="B759" s="332"/>
      <c r="C759" s="723">
        <f>IF(D698="","-",+C758+1)</f>
        <v>2070</v>
      </c>
      <c r="D759" s="674">
        <f t="shared" si="70"/>
        <v>0</v>
      </c>
      <c r="E759" s="730">
        <f t="shared" si="71"/>
        <v>0</v>
      </c>
      <c r="F759" s="730">
        <f t="shared" si="64"/>
        <v>0</v>
      </c>
      <c r="G759" s="674">
        <f t="shared" si="65"/>
        <v>0</v>
      </c>
      <c r="H759" s="724">
        <f>+J699*G759+E759</f>
        <v>0</v>
      </c>
      <c r="I759" s="731">
        <f>+J700*G759+E759</f>
        <v>0</v>
      </c>
      <c r="J759" s="727">
        <f t="shared" si="66"/>
        <v>0</v>
      </c>
      <c r="K759" s="727"/>
      <c r="L759" s="732"/>
      <c r="M759" s="727">
        <f t="shared" si="67"/>
        <v>0</v>
      </c>
      <c r="N759" s="732"/>
      <c r="O759" s="727">
        <f t="shared" si="68"/>
        <v>0</v>
      </c>
      <c r="P759" s="727">
        <f t="shared" si="69"/>
        <v>0</v>
      </c>
      <c r="Q759" s="675"/>
    </row>
    <row r="760" spans="2:17">
      <c r="B760" s="332"/>
      <c r="C760" s="723">
        <f>IF(D698="","-",+C759+1)</f>
        <v>2071</v>
      </c>
      <c r="D760" s="674">
        <f t="shared" si="70"/>
        <v>0</v>
      </c>
      <c r="E760" s="730">
        <f t="shared" si="71"/>
        <v>0</v>
      </c>
      <c r="F760" s="730">
        <f t="shared" si="64"/>
        <v>0</v>
      </c>
      <c r="G760" s="674">
        <f t="shared" si="65"/>
        <v>0</v>
      </c>
      <c r="H760" s="724">
        <f>+J699*G760+E760</f>
        <v>0</v>
      </c>
      <c r="I760" s="731">
        <f>+J700*G760+E760</f>
        <v>0</v>
      </c>
      <c r="J760" s="727">
        <f t="shared" si="66"/>
        <v>0</v>
      </c>
      <c r="K760" s="727"/>
      <c r="L760" s="732"/>
      <c r="M760" s="727">
        <f t="shared" si="67"/>
        <v>0</v>
      </c>
      <c r="N760" s="732"/>
      <c r="O760" s="727">
        <f t="shared" si="68"/>
        <v>0</v>
      </c>
      <c r="P760" s="727">
        <f t="shared" si="69"/>
        <v>0</v>
      </c>
      <c r="Q760" s="675"/>
    </row>
    <row r="761" spans="2:17">
      <c r="B761" s="332"/>
      <c r="C761" s="723">
        <f>IF(D698="","-",+C760+1)</f>
        <v>2072</v>
      </c>
      <c r="D761" s="674">
        <f t="shared" si="70"/>
        <v>0</v>
      </c>
      <c r="E761" s="730">
        <f t="shared" si="71"/>
        <v>0</v>
      </c>
      <c r="F761" s="730">
        <f t="shared" si="64"/>
        <v>0</v>
      </c>
      <c r="G761" s="674">
        <f t="shared" si="65"/>
        <v>0</v>
      </c>
      <c r="H761" s="724">
        <f>+J699*G761+E761</f>
        <v>0</v>
      </c>
      <c r="I761" s="731">
        <f>+J700*G761+E761</f>
        <v>0</v>
      </c>
      <c r="J761" s="727">
        <f t="shared" si="66"/>
        <v>0</v>
      </c>
      <c r="K761" s="727"/>
      <c r="L761" s="732"/>
      <c r="M761" s="727">
        <f t="shared" si="67"/>
        <v>0</v>
      </c>
      <c r="N761" s="732"/>
      <c r="O761" s="727">
        <f t="shared" si="68"/>
        <v>0</v>
      </c>
      <c r="P761" s="727">
        <f t="shared" si="69"/>
        <v>0</v>
      </c>
      <c r="Q761" s="675"/>
    </row>
    <row r="762" spans="2:17">
      <c r="B762" s="332"/>
      <c r="C762" s="723">
        <f>IF(D698="","-",+C761+1)</f>
        <v>2073</v>
      </c>
      <c r="D762" s="674">
        <f t="shared" si="70"/>
        <v>0</v>
      </c>
      <c r="E762" s="730">
        <f t="shared" si="71"/>
        <v>0</v>
      </c>
      <c r="F762" s="730">
        <f t="shared" si="64"/>
        <v>0</v>
      </c>
      <c r="G762" s="674">
        <f t="shared" si="65"/>
        <v>0</v>
      </c>
      <c r="H762" s="724">
        <f>+J699*G762+E762</f>
        <v>0</v>
      </c>
      <c r="I762" s="731">
        <f>+J700*G762+E762</f>
        <v>0</v>
      </c>
      <c r="J762" s="727">
        <f t="shared" si="66"/>
        <v>0</v>
      </c>
      <c r="K762" s="727"/>
      <c r="L762" s="732"/>
      <c r="M762" s="727">
        <f t="shared" si="67"/>
        <v>0</v>
      </c>
      <c r="N762" s="732"/>
      <c r="O762" s="727">
        <f t="shared" si="68"/>
        <v>0</v>
      </c>
      <c r="P762" s="727">
        <f t="shared" si="69"/>
        <v>0</v>
      </c>
      <c r="Q762" s="675"/>
    </row>
    <row r="763" spans="2:17" ht="13.5" thickBot="1">
      <c r="B763" s="332"/>
      <c r="C763" s="735">
        <f>IF(D698="","-",+C762+1)</f>
        <v>2074</v>
      </c>
      <c r="D763" s="736">
        <f t="shared" si="70"/>
        <v>0</v>
      </c>
      <c r="E763" s="737">
        <f t="shared" si="71"/>
        <v>0</v>
      </c>
      <c r="F763" s="737">
        <f t="shared" si="64"/>
        <v>0</v>
      </c>
      <c r="G763" s="736">
        <f t="shared" si="65"/>
        <v>0</v>
      </c>
      <c r="H763" s="738">
        <f>+J699*G763+E763</f>
        <v>0</v>
      </c>
      <c r="I763" s="738">
        <f>+J700*G763+E763</f>
        <v>0</v>
      </c>
      <c r="J763" s="739">
        <f t="shared" si="66"/>
        <v>0</v>
      </c>
      <c r="K763" s="727"/>
      <c r="L763" s="740"/>
      <c r="M763" s="739">
        <f t="shared" si="67"/>
        <v>0</v>
      </c>
      <c r="N763" s="740"/>
      <c r="O763" s="739">
        <f t="shared" si="68"/>
        <v>0</v>
      </c>
      <c r="P763" s="739">
        <f t="shared" si="69"/>
        <v>0</v>
      </c>
      <c r="Q763" s="675"/>
    </row>
    <row r="764" spans="2:17">
      <c r="B764" s="332"/>
      <c r="C764" s="674" t="s">
        <v>288</v>
      </c>
      <c r="D764" s="670"/>
      <c r="E764" s="670">
        <f>SUM(E704:E763)</f>
        <v>5483985.8899999997</v>
      </c>
      <c r="F764" s="670"/>
      <c r="G764" s="670"/>
      <c r="H764" s="670">
        <f>SUM(H704:H763)</f>
        <v>18772355.957388107</v>
      </c>
      <c r="I764" s="670">
        <f>SUM(I704:I763)</f>
        <v>18772355.957388107</v>
      </c>
      <c r="J764" s="670">
        <f>SUM(J704:J763)</f>
        <v>0</v>
      </c>
      <c r="K764" s="670"/>
      <c r="L764" s="670"/>
      <c r="M764" s="670"/>
      <c r="N764" s="670"/>
      <c r="O764" s="670"/>
      <c r="Q764" s="670"/>
    </row>
    <row r="765" spans="2:17">
      <c r="B765" s="332"/>
      <c r="D765" s="564"/>
      <c r="E765" s="541"/>
      <c r="F765" s="541"/>
      <c r="G765" s="541"/>
      <c r="H765" s="541"/>
      <c r="I765" s="647"/>
      <c r="J765" s="647"/>
      <c r="K765" s="670"/>
      <c r="L765" s="647"/>
      <c r="M765" s="647"/>
      <c r="N765" s="647"/>
      <c r="O765" s="647"/>
      <c r="Q765" s="670"/>
    </row>
    <row r="766" spans="2:17">
      <c r="B766" s="332"/>
      <c r="C766" s="541" t="s">
        <v>601</v>
      </c>
      <c r="D766" s="564"/>
      <c r="E766" s="541"/>
      <c r="F766" s="541"/>
      <c r="G766" s="541"/>
      <c r="H766" s="541"/>
      <c r="I766" s="647"/>
      <c r="J766" s="647"/>
      <c r="K766" s="670"/>
      <c r="L766" s="647"/>
      <c r="M766" s="647"/>
      <c r="N766" s="647"/>
      <c r="O766" s="647"/>
      <c r="Q766" s="670"/>
    </row>
    <row r="767" spans="2:17">
      <c r="B767" s="332"/>
      <c r="D767" s="564"/>
      <c r="E767" s="541"/>
      <c r="F767" s="541"/>
      <c r="G767" s="541"/>
      <c r="H767" s="541"/>
      <c r="I767" s="647"/>
      <c r="J767" s="647"/>
      <c r="K767" s="670"/>
      <c r="L767" s="647"/>
      <c r="M767" s="647"/>
      <c r="N767" s="647"/>
      <c r="O767" s="647"/>
      <c r="Q767" s="670"/>
    </row>
    <row r="768" spans="2:17">
      <c r="B768" s="332"/>
      <c r="C768" s="577" t="s">
        <v>602</v>
      </c>
      <c r="D768" s="674"/>
      <c r="E768" s="674"/>
      <c r="F768" s="674"/>
      <c r="G768" s="674"/>
      <c r="H768" s="670"/>
      <c r="I768" s="670"/>
      <c r="J768" s="675"/>
      <c r="K768" s="675"/>
      <c r="L768" s="675"/>
      <c r="M768" s="675"/>
      <c r="N768" s="675"/>
      <c r="O768" s="675"/>
      <c r="Q768" s="675"/>
    </row>
    <row r="769" spans="1:17">
      <c r="B769" s="332"/>
      <c r="C769" s="577" t="s">
        <v>476</v>
      </c>
      <c r="D769" s="674"/>
      <c r="E769" s="674"/>
      <c r="F769" s="674"/>
      <c r="G769" s="674"/>
      <c r="H769" s="670"/>
      <c r="I769" s="670"/>
      <c r="J769" s="675"/>
      <c r="K769" s="675"/>
      <c r="L769" s="675"/>
      <c r="M769" s="675"/>
      <c r="N769" s="675"/>
      <c r="O769" s="675"/>
      <c r="Q769" s="675"/>
    </row>
    <row r="770" spans="1:17">
      <c r="B770" s="332"/>
      <c r="C770" s="577" t="s">
        <v>289</v>
      </c>
      <c r="D770" s="674"/>
      <c r="E770" s="674"/>
      <c r="F770" s="674"/>
      <c r="G770" s="674"/>
      <c r="H770" s="670"/>
      <c r="I770" s="670"/>
      <c r="J770" s="675"/>
      <c r="K770" s="675"/>
      <c r="L770" s="675"/>
      <c r="M770" s="675"/>
      <c r="N770" s="675"/>
      <c r="O770" s="675"/>
      <c r="Q770" s="675"/>
    </row>
    <row r="771" spans="1:17" ht="20.25">
      <c r="A771" s="676" t="s">
        <v>770</v>
      </c>
      <c r="B771" s="541"/>
      <c r="C771" s="656"/>
      <c r="D771" s="564"/>
      <c r="E771" s="541"/>
      <c r="F771" s="646"/>
      <c r="G771" s="646"/>
      <c r="H771" s="541"/>
      <c r="I771" s="647"/>
      <c r="L771" s="677"/>
      <c r="M771" s="677"/>
      <c r="N771" s="677"/>
      <c r="O771" s="592" t="str">
        <f>"Page "&amp;SUM(Q$3:Q771)&amp;" of "</f>
        <v xml:space="preserve">Page 10 of </v>
      </c>
      <c r="P771" s="593">
        <f>COUNT(Q$8:Q$58123)</f>
        <v>16</v>
      </c>
      <c r="Q771" s="761">
        <v>1</v>
      </c>
    </row>
    <row r="772" spans="1:17">
      <c r="B772" s="541"/>
      <c r="C772" s="541"/>
      <c r="D772" s="564"/>
      <c r="E772" s="541"/>
      <c r="F772" s="541"/>
      <c r="G772" s="541"/>
      <c r="H772" s="541"/>
      <c r="I772" s="647"/>
      <c r="J772" s="541"/>
      <c r="K772" s="589"/>
      <c r="Q772" s="589"/>
    </row>
    <row r="773" spans="1:17" ht="18">
      <c r="B773" s="596" t="s">
        <v>174</v>
      </c>
      <c r="C773" s="678" t="s">
        <v>290</v>
      </c>
      <c r="D773" s="564"/>
      <c r="E773" s="541"/>
      <c r="F773" s="541"/>
      <c r="G773" s="541"/>
      <c r="H773" s="541"/>
      <c r="I773" s="647"/>
      <c r="J773" s="647"/>
      <c r="K773" s="670"/>
      <c r="L773" s="647"/>
      <c r="M773" s="647"/>
      <c r="N773" s="647"/>
      <c r="O773" s="647"/>
      <c r="Q773" s="670"/>
    </row>
    <row r="774" spans="1:17" ht="18.75">
      <c r="B774" s="596"/>
      <c r="C774" s="595"/>
      <c r="D774" s="564"/>
      <c r="E774" s="541"/>
      <c r="F774" s="541"/>
      <c r="G774" s="541"/>
      <c r="H774" s="541"/>
      <c r="I774" s="647"/>
      <c r="J774" s="647"/>
      <c r="K774" s="670"/>
      <c r="L774" s="647"/>
      <c r="M774" s="647"/>
      <c r="N774" s="647"/>
      <c r="O774" s="647"/>
      <c r="Q774" s="670"/>
    </row>
    <row r="775" spans="1:17" ht="18.75">
      <c r="B775" s="596"/>
      <c r="C775" s="595" t="s">
        <v>291</v>
      </c>
      <c r="D775" s="564"/>
      <c r="E775" s="541"/>
      <c r="F775" s="541"/>
      <c r="G775" s="541"/>
      <c r="H775" s="541"/>
      <c r="I775" s="647"/>
      <c r="J775" s="647"/>
      <c r="K775" s="670"/>
      <c r="L775" s="647"/>
      <c r="M775" s="647"/>
      <c r="N775" s="647"/>
      <c r="O775" s="647"/>
      <c r="Q775" s="670"/>
    </row>
    <row r="776" spans="1:17" ht="15.75" thickBot="1">
      <c r="B776" s="332"/>
      <c r="C776" s="398"/>
      <c r="D776" s="564"/>
      <c r="E776" s="541"/>
      <c r="F776" s="541"/>
      <c r="G776" s="541"/>
      <c r="H776" s="541"/>
      <c r="I776" s="647"/>
      <c r="J776" s="647"/>
      <c r="K776" s="670"/>
      <c r="L776" s="647"/>
      <c r="M776" s="647"/>
      <c r="N776" s="647"/>
      <c r="O776" s="647"/>
      <c r="Q776" s="670"/>
    </row>
    <row r="777" spans="1:17" ht="15.75">
      <c r="B777" s="332"/>
      <c r="C777" s="597" t="s">
        <v>292</v>
      </c>
      <c r="D777" s="564"/>
      <c r="E777" s="541"/>
      <c r="F777" s="541"/>
      <c r="G777" s="541"/>
      <c r="H777" s="870"/>
      <c r="I777" s="541" t="s">
        <v>271</v>
      </c>
      <c r="J777" s="541"/>
      <c r="K777" s="589"/>
      <c r="L777" s="762">
        <f>+J783</f>
        <v>2020</v>
      </c>
      <c r="M777" s="744" t="s">
        <v>254</v>
      </c>
      <c r="N777" s="744" t="s">
        <v>255</v>
      </c>
      <c r="O777" s="745" t="s">
        <v>256</v>
      </c>
      <c r="Q777" s="589"/>
    </row>
    <row r="778" spans="1:17" ht="15.75">
      <c r="B778" s="332"/>
      <c r="C778" s="597"/>
      <c r="D778" s="564"/>
      <c r="E778" s="541"/>
      <c r="F778" s="541"/>
      <c r="H778" s="541"/>
      <c r="I778" s="682"/>
      <c r="J778" s="682"/>
      <c r="K778" s="683"/>
      <c r="L778" s="763" t="s">
        <v>455</v>
      </c>
      <c r="M778" s="764">
        <f>VLOOKUP(J783,C790:P849,10)</f>
        <v>82533.189311498267</v>
      </c>
      <c r="N778" s="764">
        <f>VLOOKUP(J783,C790:P849,12)</f>
        <v>82533.189311498267</v>
      </c>
      <c r="O778" s="765">
        <f>+N778-M778</f>
        <v>0</v>
      </c>
      <c r="Q778" s="683"/>
    </row>
    <row r="779" spans="1:17">
      <c r="B779" s="332"/>
      <c r="C779" s="685" t="s">
        <v>293</v>
      </c>
      <c r="D779" s="1544" t="s">
        <v>982</v>
      </c>
      <c r="E779" s="1544"/>
      <c r="F779" s="1544"/>
      <c r="G779" s="1544"/>
      <c r="H779" s="1544"/>
      <c r="I779" s="647"/>
      <c r="J779" s="647"/>
      <c r="K779" s="670"/>
      <c r="L779" s="763" t="s">
        <v>456</v>
      </c>
      <c r="M779" s="766">
        <f>VLOOKUP(J783,C790:P849,6)</f>
        <v>759043.13882986829</v>
      </c>
      <c r="N779" s="766">
        <f>VLOOKUP(J783,C790:P849,7)</f>
        <v>759043.13882986829</v>
      </c>
      <c r="O779" s="767">
        <f>+N779-M779</f>
        <v>0</v>
      </c>
      <c r="Q779" s="670"/>
    </row>
    <row r="780" spans="1:17" ht="13.5" thickBot="1">
      <c r="B780" s="332"/>
      <c r="C780" s="687"/>
      <c r="D780" s="688"/>
      <c r="E780" s="672"/>
      <c r="F780" s="672"/>
      <c r="G780" s="672"/>
      <c r="H780" s="689"/>
      <c r="I780" s="647"/>
      <c r="J780" s="647"/>
      <c r="K780" s="670"/>
      <c r="L780" s="708" t="s">
        <v>457</v>
      </c>
      <c r="M780" s="768">
        <f>+M779-M778</f>
        <v>676509.94951836998</v>
      </c>
      <c r="N780" s="768">
        <f>+N779-N778</f>
        <v>676509.94951836998</v>
      </c>
      <c r="O780" s="769">
        <f>+O779-O778</f>
        <v>0</v>
      </c>
      <c r="Q780" s="670"/>
    </row>
    <row r="781" spans="1:17" ht="13.5" thickBot="1">
      <c r="B781" s="332"/>
      <c r="C781" s="690"/>
      <c r="D781" s="691"/>
      <c r="E781" s="689"/>
      <c r="F781" s="689"/>
      <c r="G781" s="689"/>
      <c r="H781" s="689"/>
      <c r="I781" s="689"/>
      <c r="J781" s="689"/>
      <c r="K781" s="692"/>
      <c r="L781" s="689"/>
      <c r="M781" s="689"/>
      <c r="N781" s="689"/>
      <c r="O781" s="689"/>
      <c r="P781" s="577"/>
      <c r="Q781" s="692"/>
    </row>
    <row r="782" spans="1:17" ht="13.5" thickBot="1">
      <c r="B782" s="332"/>
      <c r="C782" s="694" t="s">
        <v>294</v>
      </c>
      <c r="D782" s="695"/>
      <c r="E782" s="695"/>
      <c r="F782" s="695"/>
      <c r="G782" s="695"/>
      <c r="H782" s="695"/>
      <c r="I782" s="695"/>
      <c r="J782" s="695"/>
      <c r="K782" s="697"/>
      <c r="P782" s="698"/>
      <c r="Q782" s="697"/>
    </row>
    <row r="783" spans="1:17" ht="15">
      <c r="A783" s="693"/>
      <c r="B783" s="332"/>
      <c r="C783" s="700" t="s">
        <v>272</v>
      </c>
      <c r="D783" s="1256">
        <v>6895243.2199999997</v>
      </c>
      <c r="E783" s="656" t="s">
        <v>273</v>
      </c>
      <c r="H783" s="701"/>
      <c r="I783" s="701"/>
      <c r="J783" s="702">
        <f>$J$95</f>
        <v>2020</v>
      </c>
      <c r="K783" s="587"/>
      <c r="L783" s="1545" t="s">
        <v>274</v>
      </c>
      <c r="M783" s="1545"/>
      <c r="N783" s="1545"/>
      <c r="O783" s="1545"/>
      <c r="P783" s="589"/>
      <c r="Q783" s="587"/>
    </row>
    <row r="784" spans="1:17">
      <c r="A784" s="693"/>
      <c r="B784" s="332"/>
      <c r="C784" s="700" t="s">
        <v>275</v>
      </c>
      <c r="D784" s="872">
        <v>2014</v>
      </c>
      <c r="E784" s="700" t="s">
        <v>276</v>
      </c>
      <c r="F784" s="701"/>
      <c r="G784" s="701"/>
      <c r="I784" s="332"/>
      <c r="J784" s="875">
        <v>0</v>
      </c>
      <c r="K784" s="703"/>
      <c r="L784" s="670" t="s">
        <v>475</v>
      </c>
      <c r="P784" s="589"/>
      <c r="Q784" s="703"/>
    </row>
    <row r="785" spans="1:17">
      <c r="A785" s="693"/>
      <c r="B785" s="332"/>
      <c r="C785" s="700" t="s">
        <v>277</v>
      </c>
      <c r="D785" s="1257">
        <v>9</v>
      </c>
      <c r="E785" s="700" t="s">
        <v>278</v>
      </c>
      <c r="F785" s="701"/>
      <c r="G785" s="701"/>
      <c r="I785" s="332"/>
      <c r="J785" s="704">
        <f>$F$70</f>
        <v>0.1009634410531228</v>
      </c>
      <c r="K785" s="705"/>
      <c r="L785" s="541" t="str">
        <f>"          INPUT TRUE-UP ARR (WITH &amp; WITHOUT INCENTIVES) FROM EACH PRIOR YEAR"</f>
        <v xml:space="preserve">          INPUT TRUE-UP ARR (WITH &amp; WITHOUT INCENTIVES) FROM EACH PRIOR YEAR</v>
      </c>
      <c r="P785" s="589"/>
      <c r="Q785" s="705"/>
    </row>
    <row r="786" spans="1:17">
      <c r="A786" s="693"/>
      <c r="B786" s="332"/>
      <c r="C786" s="700" t="s">
        <v>279</v>
      </c>
      <c r="D786" s="706">
        <f>H79</f>
        <v>46</v>
      </c>
      <c r="E786" s="700" t="s">
        <v>280</v>
      </c>
      <c r="F786" s="701"/>
      <c r="G786" s="701"/>
      <c r="I786" s="332"/>
      <c r="J786" s="704">
        <f>IF(H777="",J785,$F$69)</f>
        <v>0.1009634410531228</v>
      </c>
      <c r="K786" s="707"/>
      <c r="L786" s="541" t="s">
        <v>362</v>
      </c>
      <c r="M786" s="707"/>
      <c r="N786" s="707"/>
      <c r="O786" s="707"/>
      <c r="P786" s="589"/>
      <c r="Q786" s="707"/>
    </row>
    <row r="787" spans="1:17" ht="13.5" thickBot="1">
      <c r="A787" s="693"/>
      <c r="B787" s="332"/>
      <c r="C787" s="700" t="s">
        <v>281</v>
      </c>
      <c r="D787" s="874" t="s">
        <v>974</v>
      </c>
      <c r="E787" s="708" t="s">
        <v>282</v>
      </c>
      <c r="F787" s="709"/>
      <c r="G787" s="709"/>
      <c r="H787" s="710"/>
      <c r="I787" s="710"/>
      <c r="J787" s="686">
        <f>IF(D783=0,0,D783/D786)</f>
        <v>149896.59173913044</v>
      </c>
      <c r="K787" s="670"/>
      <c r="L787" s="670" t="s">
        <v>363</v>
      </c>
      <c r="M787" s="670"/>
      <c r="N787" s="670"/>
      <c r="O787" s="670"/>
      <c r="P787" s="589"/>
      <c r="Q787" s="670"/>
    </row>
    <row r="788" spans="1:17" ht="38.25">
      <c r="A788" s="528"/>
      <c r="B788" s="528"/>
      <c r="C788" s="711" t="s">
        <v>272</v>
      </c>
      <c r="D788" s="712" t="s">
        <v>283</v>
      </c>
      <c r="E788" s="713" t="s">
        <v>284</v>
      </c>
      <c r="F788" s="712" t="s">
        <v>285</v>
      </c>
      <c r="G788" s="712" t="s">
        <v>458</v>
      </c>
      <c r="H788" s="713" t="s">
        <v>356</v>
      </c>
      <c r="I788" s="714" t="s">
        <v>356</v>
      </c>
      <c r="J788" s="711" t="s">
        <v>295</v>
      </c>
      <c r="K788" s="715"/>
      <c r="L788" s="713" t="s">
        <v>358</v>
      </c>
      <c r="M788" s="713" t="s">
        <v>364</v>
      </c>
      <c r="N788" s="713" t="s">
        <v>358</v>
      </c>
      <c r="O788" s="713" t="s">
        <v>366</v>
      </c>
      <c r="P788" s="713" t="s">
        <v>286</v>
      </c>
      <c r="Q788" s="716"/>
    </row>
    <row r="789" spans="1:17" ht="13.5" thickBot="1">
      <c r="B789" s="332"/>
      <c r="C789" s="717" t="s">
        <v>177</v>
      </c>
      <c r="D789" s="718" t="s">
        <v>178</v>
      </c>
      <c r="E789" s="717" t="s">
        <v>37</v>
      </c>
      <c r="F789" s="718" t="s">
        <v>178</v>
      </c>
      <c r="G789" s="718" t="s">
        <v>178</v>
      </c>
      <c r="H789" s="719" t="s">
        <v>298</v>
      </c>
      <c r="I789" s="720" t="s">
        <v>300</v>
      </c>
      <c r="J789" s="721" t="s">
        <v>389</v>
      </c>
      <c r="K789" s="722"/>
      <c r="L789" s="719" t="s">
        <v>287</v>
      </c>
      <c r="M789" s="719" t="s">
        <v>287</v>
      </c>
      <c r="N789" s="719" t="s">
        <v>467</v>
      </c>
      <c r="O789" s="719" t="s">
        <v>467</v>
      </c>
      <c r="P789" s="719" t="s">
        <v>467</v>
      </c>
      <c r="Q789" s="587"/>
    </row>
    <row r="790" spans="1:17">
      <c r="B790" s="332"/>
      <c r="C790" s="723">
        <f>IF(D784= "","-",D784)</f>
        <v>2014</v>
      </c>
      <c r="D790" s="674">
        <f>+D783</f>
        <v>6895243.2199999997</v>
      </c>
      <c r="E790" s="724">
        <f>+J787/12*(12-D785)</f>
        <v>37474.14793478261</v>
      </c>
      <c r="F790" s="770">
        <f t="shared" ref="F790:F849" si="72">+D790-E790</f>
        <v>6857769.0720652174</v>
      </c>
      <c r="G790" s="674">
        <f t="shared" ref="G790:G849" si="73">+(D790+F790)/2</f>
        <v>6876506.146032609</v>
      </c>
      <c r="H790" s="725">
        <f>+J785*G790+E790</f>
        <v>731749.87086118245</v>
      </c>
      <c r="I790" s="726">
        <f>+J786*G790+E790</f>
        <v>731749.87086118245</v>
      </c>
      <c r="J790" s="727">
        <f t="shared" ref="J790:J849" si="74">+I790-H790</f>
        <v>0</v>
      </c>
      <c r="K790" s="727"/>
      <c r="L790" s="728">
        <v>9.9999999999999995E-7</v>
      </c>
      <c r="M790" s="771">
        <f t="shared" ref="M790:M849" si="75">IF(L790&lt;&gt;0,+H790-L790,0)</f>
        <v>731749.87086018245</v>
      </c>
      <c r="N790" s="728">
        <v>9.9999999999999995E-7</v>
      </c>
      <c r="O790" s="771">
        <f t="shared" ref="O790:O849" si="76">IF(N790&lt;&gt;0,+I790-N790,0)</f>
        <v>731749.87086018245</v>
      </c>
      <c r="P790" s="771">
        <f t="shared" ref="P790:P849" si="77">+O790-M790</f>
        <v>0</v>
      </c>
      <c r="Q790" s="675"/>
    </row>
    <row r="791" spans="1:17">
      <c r="B791" s="332"/>
      <c r="C791" s="723">
        <f>IF(D784="","-",+C790+1)</f>
        <v>2015</v>
      </c>
      <c r="D791" s="674">
        <f t="shared" ref="D791:D849" si="78">F790</f>
        <v>6857769.0720652174</v>
      </c>
      <c r="E791" s="730">
        <f>IF(D791&gt;$J$787,$J$787,D791)</f>
        <v>149896.59173913044</v>
      </c>
      <c r="F791" s="730">
        <f t="shared" si="72"/>
        <v>6707872.4803260872</v>
      </c>
      <c r="G791" s="674">
        <f t="shared" si="73"/>
        <v>6782820.7761956528</v>
      </c>
      <c r="H791" s="724">
        <f>+J785*G791+E791</f>
        <v>834713.51735045691</v>
      </c>
      <c r="I791" s="731">
        <f>+J786*G791+E791</f>
        <v>834713.51735045691</v>
      </c>
      <c r="J791" s="727">
        <f t="shared" si="74"/>
        <v>0</v>
      </c>
      <c r="K791" s="727"/>
      <c r="L791" s="732">
        <v>9.9999999999999995E-7</v>
      </c>
      <c r="M791" s="727">
        <f t="shared" si="75"/>
        <v>834713.5173494569</v>
      </c>
      <c r="N791" s="732">
        <v>9.9999999999999995E-7</v>
      </c>
      <c r="O791" s="727">
        <f t="shared" si="76"/>
        <v>834713.5173494569</v>
      </c>
      <c r="P791" s="727">
        <f t="shared" si="77"/>
        <v>0</v>
      </c>
      <c r="Q791" s="675"/>
    </row>
    <row r="792" spans="1:17">
      <c r="B792" s="332"/>
      <c r="C792" s="723">
        <f>IF(D784="","-",+C791+1)</f>
        <v>2016</v>
      </c>
      <c r="D792" s="1270">
        <f t="shared" si="78"/>
        <v>6707872.4803260872</v>
      </c>
      <c r="E792" s="730">
        <f t="shared" ref="E792:E849" si="79">IF(D792&gt;$J$787,$J$787,D792)</f>
        <v>149896.59173913044</v>
      </c>
      <c r="F792" s="730">
        <f t="shared" si="72"/>
        <v>6557975.888586957</v>
      </c>
      <c r="G792" s="674">
        <f t="shared" si="73"/>
        <v>6632924.1844565216</v>
      </c>
      <c r="H792" s="724">
        <f>+J785*G792+E792</f>
        <v>819579.44164633902</v>
      </c>
      <c r="I792" s="731">
        <f>+J786*G792+E792</f>
        <v>819579.44164633902</v>
      </c>
      <c r="J792" s="727">
        <f t="shared" si="74"/>
        <v>0</v>
      </c>
      <c r="K792" s="727"/>
      <c r="L792" s="732">
        <v>1117</v>
      </c>
      <c r="M792" s="727">
        <f t="shared" si="75"/>
        <v>818462.44164633902</v>
      </c>
      <c r="N792" s="732">
        <v>1117</v>
      </c>
      <c r="O792" s="727">
        <f t="shared" si="76"/>
        <v>818462.44164633902</v>
      </c>
      <c r="P792" s="727">
        <f t="shared" si="77"/>
        <v>0</v>
      </c>
      <c r="Q792" s="675"/>
    </row>
    <row r="793" spans="1:17">
      <c r="B793" s="332"/>
      <c r="C793" s="723">
        <f>IF(D784="","-",+C792+1)</f>
        <v>2017</v>
      </c>
      <c r="D793" s="1270">
        <f t="shared" si="78"/>
        <v>6557975.888586957</v>
      </c>
      <c r="E793" s="730">
        <f t="shared" si="79"/>
        <v>149896.59173913044</v>
      </c>
      <c r="F793" s="730">
        <f t="shared" si="72"/>
        <v>6408079.2968478268</v>
      </c>
      <c r="G793" s="674">
        <f t="shared" si="73"/>
        <v>6483027.5927173924</v>
      </c>
      <c r="H793" s="724">
        <f>+J785*G793+E793</f>
        <v>804445.36594222148</v>
      </c>
      <c r="I793" s="731">
        <f>+J786*G793+E793</f>
        <v>804445.36594222148</v>
      </c>
      <c r="J793" s="727">
        <f t="shared" si="74"/>
        <v>0</v>
      </c>
      <c r="K793" s="727"/>
      <c r="L793" s="732">
        <v>57580</v>
      </c>
      <c r="M793" s="727">
        <f t="shared" si="75"/>
        <v>746865.36594222148</v>
      </c>
      <c r="N793" s="732">
        <v>57580</v>
      </c>
      <c r="O793" s="727">
        <f t="shared" si="76"/>
        <v>746865.36594222148</v>
      </c>
      <c r="P793" s="727">
        <f t="shared" si="77"/>
        <v>0</v>
      </c>
      <c r="Q793" s="675"/>
    </row>
    <row r="794" spans="1:17">
      <c r="B794" s="332"/>
      <c r="C794" s="723">
        <f>IF(D784="","-",+C793+1)</f>
        <v>2018</v>
      </c>
      <c r="D794" s="1453">
        <f t="shared" si="78"/>
        <v>6408079.2968478268</v>
      </c>
      <c r="E794" s="730">
        <f t="shared" si="79"/>
        <v>149896.59173913044</v>
      </c>
      <c r="F794" s="730">
        <f t="shared" si="72"/>
        <v>6258182.7051086966</v>
      </c>
      <c r="G794" s="674">
        <f t="shared" si="73"/>
        <v>6333131.0009782612</v>
      </c>
      <c r="H794" s="724">
        <f>+J785*G794+E794</f>
        <v>789311.29023810371</v>
      </c>
      <c r="I794" s="731">
        <f>+J786*G794+E794</f>
        <v>789311.29023810371</v>
      </c>
      <c r="J794" s="727">
        <f t="shared" si="74"/>
        <v>0</v>
      </c>
      <c r="K794" s="727"/>
      <c r="L794" s="732">
        <v>54331</v>
      </c>
      <c r="M794" s="727">
        <f t="shared" si="75"/>
        <v>734980.29023810371</v>
      </c>
      <c r="N794" s="732">
        <v>54331</v>
      </c>
      <c r="O794" s="727">
        <f t="shared" si="76"/>
        <v>734980.29023810371</v>
      </c>
      <c r="P794" s="727">
        <f t="shared" si="77"/>
        <v>0</v>
      </c>
      <c r="Q794" s="675"/>
    </row>
    <row r="795" spans="1:17">
      <c r="B795" s="332"/>
      <c r="C795" s="723">
        <f>IF(D784="","-",+C794+1)</f>
        <v>2019</v>
      </c>
      <c r="D795" s="674">
        <f t="shared" si="78"/>
        <v>6258182.7051086966</v>
      </c>
      <c r="E795" s="730">
        <f t="shared" si="79"/>
        <v>149896.59173913044</v>
      </c>
      <c r="F795" s="730">
        <f t="shared" si="72"/>
        <v>6108286.1133695664</v>
      </c>
      <c r="G795" s="674">
        <f t="shared" si="73"/>
        <v>6183234.409239132</v>
      </c>
      <c r="H795" s="724">
        <f>+J785*G795+E795</f>
        <v>774177.21453398606</v>
      </c>
      <c r="I795" s="731">
        <f>+J786*G795+E795</f>
        <v>774177.21453398606</v>
      </c>
      <c r="J795" s="727">
        <f t="shared" si="74"/>
        <v>0</v>
      </c>
      <c r="K795" s="727"/>
      <c r="L795" s="732">
        <v>52090</v>
      </c>
      <c r="M795" s="727">
        <f t="shared" si="75"/>
        <v>722087.21453398606</v>
      </c>
      <c r="N795" s="732">
        <v>52090</v>
      </c>
      <c r="O795" s="727">
        <f t="shared" si="76"/>
        <v>722087.21453398606</v>
      </c>
      <c r="P795" s="727">
        <f t="shared" si="77"/>
        <v>0</v>
      </c>
      <c r="Q795" s="675"/>
    </row>
    <row r="796" spans="1:17">
      <c r="B796" s="332"/>
      <c r="C796" s="723">
        <f>IF(D784="","-",+C795+1)</f>
        <v>2020</v>
      </c>
      <c r="D796" s="674">
        <f t="shared" si="78"/>
        <v>6108286.1133695664</v>
      </c>
      <c r="E796" s="730">
        <f t="shared" si="79"/>
        <v>149896.59173913044</v>
      </c>
      <c r="F796" s="730">
        <f t="shared" si="72"/>
        <v>5958389.5216304362</v>
      </c>
      <c r="G796" s="674">
        <f t="shared" si="73"/>
        <v>6033337.8175000008</v>
      </c>
      <c r="H796" s="724">
        <f>+J785*G796+E796</f>
        <v>759043.13882986829</v>
      </c>
      <c r="I796" s="731">
        <f>+J786*G796+E796</f>
        <v>759043.13882986829</v>
      </c>
      <c r="J796" s="727">
        <f t="shared" si="74"/>
        <v>0</v>
      </c>
      <c r="K796" s="727"/>
      <c r="L796" s="732">
        <v>82533.189311498267</v>
      </c>
      <c r="M796" s="727">
        <f t="shared" si="75"/>
        <v>676509.94951836998</v>
      </c>
      <c r="N796" s="732">
        <v>82533.189311498267</v>
      </c>
      <c r="O796" s="727">
        <f t="shared" si="76"/>
        <v>676509.94951836998</v>
      </c>
      <c r="P796" s="727">
        <f t="shared" si="77"/>
        <v>0</v>
      </c>
      <c r="Q796" s="675"/>
    </row>
    <row r="797" spans="1:17">
      <c r="B797" s="332"/>
      <c r="C797" s="723">
        <f>IF(D784="","-",+C796+1)</f>
        <v>2021</v>
      </c>
      <c r="D797" s="674">
        <f t="shared" si="78"/>
        <v>5958389.5216304362</v>
      </c>
      <c r="E797" s="730">
        <f t="shared" si="79"/>
        <v>149896.59173913044</v>
      </c>
      <c r="F797" s="730">
        <f t="shared" si="72"/>
        <v>5808492.929891306</v>
      </c>
      <c r="G797" s="674">
        <f t="shared" si="73"/>
        <v>5883441.2257608715</v>
      </c>
      <c r="H797" s="724">
        <f>+J785*G797+E797</f>
        <v>743909.06312575075</v>
      </c>
      <c r="I797" s="731">
        <f>+J786*G797+E797</f>
        <v>743909.06312575075</v>
      </c>
      <c r="J797" s="727">
        <f t="shared" si="74"/>
        <v>0</v>
      </c>
      <c r="K797" s="727"/>
      <c r="L797" s="732">
        <v>0</v>
      </c>
      <c r="M797" s="727">
        <f t="shared" si="75"/>
        <v>0</v>
      </c>
      <c r="N797" s="732">
        <v>0</v>
      </c>
      <c r="O797" s="727">
        <f t="shared" si="76"/>
        <v>0</v>
      </c>
      <c r="P797" s="727">
        <f t="shared" si="77"/>
        <v>0</v>
      </c>
      <c r="Q797" s="675"/>
    </row>
    <row r="798" spans="1:17">
      <c r="B798" s="332"/>
      <c r="C798" s="723">
        <f>IF(D784="","-",+C797+1)</f>
        <v>2022</v>
      </c>
      <c r="D798" s="674">
        <f t="shared" si="78"/>
        <v>5808492.929891306</v>
      </c>
      <c r="E798" s="730">
        <f t="shared" si="79"/>
        <v>149896.59173913044</v>
      </c>
      <c r="F798" s="730">
        <f t="shared" si="72"/>
        <v>5658596.3381521758</v>
      </c>
      <c r="G798" s="674">
        <f t="shared" si="73"/>
        <v>5733544.6340217404</v>
      </c>
      <c r="H798" s="724">
        <f>+J785*G798+E798</f>
        <v>728774.98742163298</v>
      </c>
      <c r="I798" s="731">
        <f>+J786*G798+E798</f>
        <v>728774.98742163298</v>
      </c>
      <c r="J798" s="727">
        <f t="shared" si="74"/>
        <v>0</v>
      </c>
      <c r="K798" s="727"/>
      <c r="L798" s="732">
        <v>0</v>
      </c>
      <c r="M798" s="727">
        <f t="shared" si="75"/>
        <v>0</v>
      </c>
      <c r="N798" s="732">
        <v>0</v>
      </c>
      <c r="O798" s="727">
        <f t="shared" si="76"/>
        <v>0</v>
      </c>
      <c r="P798" s="727">
        <f t="shared" si="77"/>
        <v>0</v>
      </c>
      <c r="Q798" s="675"/>
    </row>
    <row r="799" spans="1:17">
      <c r="B799" s="332"/>
      <c r="C799" s="723">
        <f>IF(D784="","-",+C798+1)</f>
        <v>2023</v>
      </c>
      <c r="D799" s="674">
        <f t="shared" si="78"/>
        <v>5658596.3381521758</v>
      </c>
      <c r="E799" s="730">
        <f t="shared" si="79"/>
        <v>149896.59173913044</v>
      </c>
      <c r="F799" s="730">
        <f t="shared" si="72"/>
        <v>5508699.7464130456</v>
      </c>
      <c r="G799" s="674">
        <f t="shared" si="73"/>
        <v>5583648.0422826111</v>
      </c>
      <c r="H799" s="724">
        <f>+J785*G799+E799</f>
        <v>713640.91171751532</v>
      </c>
      <c r="I799" s="731">
        <f>+J786*G799+E799</f>
        <v>713640.91171751532</v>
      </c>
      <c r="J799" s="727">
        <f t="shared" si="74"/>
        <v>0</v>
      </c>
      <c r="K799" s="727"/>
      <c r="L799" s="732">
        <v>0</v>
      </c>
      <c r="M799" s="727">
        <f t="shared" si="75"/>
        <v>0</v>
      </c>
      <c r="N799" s="732">
        <v>0</v>
      </c>
      <c r="O799" s="727">
        <f t="shared" si="76"/>
        <v>0</v>
      </c>
      <c r="P799" s="727">
        <f t="shared" si="77"/>
        <v>0</v>
      </c>
      <c r="Q799" s="675"/>
    </row>
    <row r="800" spans="1:17">
      <c r="B800" s="332"/>
      <c r="C800" s="723">
        <f>IF(D784="","-",+C799+1)</f>
        <v>2024</v>
      </c>
      <c r="D800" s="674">
        <f t="shared" si="78"/>
        <v>5508699.7464130456</v>
      </c>
      <c r="E800" s="730">
        <f t="shared" si="79"/>
        <v>149896.59173913044</v>
      </c>
      <c r="F800" s="730">
        <f t="shared" si="72"/>
        <v>5358803.1546739154</v>
      </c>
      <c r="G800" s="674">
        <f t="shared" si="73"/>
        <v>5433751.45054348</v>
      </c>
      <c r="H800" s="724">
        <f>+J785*G800+E800</f>
        <v>698506.83601339755</v>
      </c>
      <c r="I800" s="731">
        <f>+J786*G800+E800</f>
        <v>698506.83601339755</v>
      </c>
      <c r="J800" s="727">
        <f t="shared" si="74"/>
        <v>0</v>
      </c>
      <c r="K800" s="727"/>
      <c r="L800" s="732">
        <v>0</v>
      </c>
      <c r="M800" s="727">
        <f t="shared" si="75"/>
        <v>0</v>
      </c>
      <c r="N800" s="732">
        <v>0</v>
      </c>
      <c r="O800" s="727">
        <f t="shared" si="76"/>
        <v>0</v>
      </c>
      <c r="P800" s="727">
        <f t="shared" si="77"/>
        <v>0</v>
      </c>
      <c r="Q800" s="675"/>
    </row>
    <row r="801" spans="2:17">
      <c r="B801" s="332"/>
      <c r="C801" s="723">
        <f>IF(D784="","-",+C800+1)</f>
        <v>2025</v>
      </c>
      <c r="D801" s="674">
        <f t="shared" si="78"/>
        <v>5358803.1546739154</v>
      </c>
      <c r="E801" s="730">
        <f t="shared" si="79"/>
        <v>149896.59173913044</v>
      </c>
      <c r="F801" s="730">
        <f t="shared" si="72"/>
        <v>5208906.5629347851</v>
      </c>
      <c r="G801" s="674">
        <f t="shared" si="73"/>
        <v>5283854.8588043507</v>
      </c>
      <c r="H801" s="724">
        <f>+J785*G801+E801</f>
        <v>683372.76030928001</v>
      </c>
      <c r="I801" s="731">
        <f>+J786*G801+E801</f>
        <v>683372.76030928001</v>
      </c>
      <c r="J801" s="727">
        <f t="shared" si="74"/>
        <v>0</v>
      </c>
      <c r="K801" s="727"/>
      <c r="L801" s="732"/>
      <c r="M801" s="727">
        <f t="shared" si="75"/>
        <v>0</v>
      </c>
      <c r="N801" s="732"/>
      <c r="O801" s="727">
        <f t="shared" si="76"/>
        <v>0</v>
      </c>
      <c r="P801" s="727">
        <f t="shared" si="77"/>
        <v>0</v>
      </c>
      <c r="Q801" s="675"/>
    </row>
    <row r="802" spans="2:17">
      <c r="B802" s="332"/>
      <c r="C802" s="723">
        <f>IF(D784="","-",+C801+1)</f>
        <v>2026</v>
      </c>
      <c r="D802" s="674">
        <f t="shared" si="78"/>
        <v>5208906.5629347851</v>
      </c>
      <c r="E802" s="730">
        <f t="shared" si="79"/>
        <v>149896.59173913044</v>
      </c>
      <c r="F802" s="730">
        <f t="shared" si="72"/>
        <v>5059009.9711956549</v>
      </c>
      <c r="G802" s="674">
        <f t="shared" si="73"/>
        <v>5133958.2670652196</v>
      </c>
      <c r="H802" s="724">
        <f>+J785*G802+E802</f>
        <v>668238.68460516213</v>
      </c>
      <c r="I802" s="731">
        <f>+J786*G802+E802</f>
        <v>668238.68460516213</v>
      </c>
      <c r="J802" s="727">
        <f t="shared" si="74"/>
        <v>0</v>
      </c>
      <c r="K802" s="727"/>
      <c r="L802" s="732"/>
      <c r="M802" s="727">
        <f t="shared" si="75"/>
        <v>0</v>
      </c>
      <c r="N802" s="732"/>
      <c r="O802" s="727">
        <f t="shared" si="76"/>
        <v>0</v>
      </c>
      <c r="P802" s="727">
        <f t="shared" si="77"/>
        <v>0</v>
      </c>
      <c r="Q802" s="675"/>
    </row>
    <row r="803" spans="2:17">
      <c r="B803" s="332"/>
      <c r="C803" s="723">
        <f>IF(D784="","-",+C802+1)</f>
        <v>2027</v>
      </c>
      <c r="D803" s="674">
        <f t="shared" si="78"/>
        <v>5059009.9711956549</v>
      </c>
      <c r="E803" s="730">
        <f t="shared" si="79"/>
        <v>149896.59173913044</v>
      </c>
      <c r="F803" s="730">
        <f t="shared" si="72"/>
        <v>4909113.3794565247</v>
      </c>
      <c r="G803" s="674">
        <f t="shared" si="73"/>
        <v>4984061.6753260903</v>
      </c>
      <c r="H803" s="724">
        <f>+J785*G803+E803</f>
        <v>653104.60890104459</v>
      </c>
      <c r="I803" s="731">
        <f>+J786*G803+E803</f>
        <v>653104.60890104459</v>
      </c>
      <c r="J803" s="727">
        <f t="shared" si="74"/>
        <v>0</v>
      </c>
      <c r="K803" s="727"/>
      <c r="L803" s="732"/>
      <c r="M803" s="727">
        <f t="shared" si="75"/>
        <v>0</v>
      </c>
      <c r="N803" s="732"/>
      <c r="O803" s="727">
        <f t="shared" si="76"/>
        <v>0</v>
      </c>
      <c r="P803" s="727">
        <f t="shared" si="77"/>
        <v>0</v>
      </c>
      <c r="Q803" s="675"/>
    </row>
    <row r="804" spans="2:17">
      <c r="B804" s="332"/>
      <c r="C804" s="723">
        <f>IF(D784="","-",+C803+1)</f>
        <v>2028</v>
      </c>
      <c r="D804" s="674">
        <f t="shared" si="78"/>
        <v>4909113.3794565247</v>
      </c>
      <c r="E804" s="730">
        <f t="shared" si="79"/>
        <v>149896.59173913044</v>
      </c>
      <c r="F804" s="730">
        <f t="shared" si="72"/>
        <v>4759216.7877173945</v>
      </c>
      <c r="G804" s="674">
        <f t="shared" si="73"/>
        <v>4834165.0835869592</v>
      </c>
      <c r="H804" s="724">
        <f>+J785*G804+E804</f>
        <v>637970.53319692682</v>
      </c>
      <c r="I804" s="731">
        <f>+J786*G804+E804</f>
        <v>637970.53319692682</v>
      </c>
      <c r="J804" s="727">
        <f t="shared" si="74"/>
        <v>0</v>
      </c>
      <c r="K804" s="727"/>
      <c r="L804" s="732"/>
      <c r="M804" s="727">
        <f t="shared" si="75"/>
        <v>0</v>
      </c>
      <c r="N804" s="732"/>
      <c r="O804" s="727">
        <f t="shared" si="76"/>
        <v>0</v>
      </c>
      <c r="P804" s="727">
        <f t="shared" si="77"/>
        <v>0</v>
      </c>
      <c r="Q804" s="675"/>
    </row>
    <row r="805" spans="2:17">
      <c r="B805" s="332"/>
      <c r="C805" s="723">
        <f>IF(D784="","-",+C804+1)</f>
        <v>2029</v>
      </c>
      <c r="D805" s="674">
        <f t="shared" si="78"/>
        <v>4759216.7877173945</v>
      </c>
      <c r="E805" s="730">
        <f t="shared" si="79"/>
        <v>149896.59173913044</v>
      </c>
      <c r="F805" s="730">
        <f t="shared" si="72"/>
        <v>4609320.1959782643</v>
      </c>
      <c r="G805" s="674">
        <f t="shared" si="73"/>
        <v>4684268.4918478299</v>
      </c>
      <c r="H805" s="724">
        <f>+J785*G805+E805</f>
        <v>622836.45749280928</v>
      </c>
      <c r="I805" s="731">
        <f>+J786*G805+E805</f>
        <v>622836.45749280928</v>
      </c>
      <c r="J805" s="727">
        <f t="shared" si="74"/>
        <v>0</v>
      </c>
      <c r="K805" s="727"/>
      <c r="L805" s="732"/>
      <c r="M805" s="727">
        <f t="shared" si="75"/>
        <v>0</v>
      </c>
      <c r="N805" s="732"/>
      <c r="O805" s="727">
        <f t="shared" si="76"/>
        <v>0</v>
      </c>
      <c r="P805" s="727">
        <f t="shared" si="77"/>
        <v>0</v>
      </c>
      <c r="Q805" s="675"/>
    </row>
    <row r="806" spans="2:17">
      <c r="B806" s="332"/>
      <c r="C806" s="723">
        <f>IF(D784="","-",+C805+1)</f>
        <v>2030</v>
      </c>
      <c r="D806" s="674">
        <f t="shared" si="78"/>
        <v>4609320.1959782643</v>
      </c>
      <c r="E806" s="730">
        <f t="shared" si="79"/>
        <v>149896.59173913044</v>
      </c>
      <c r="F806" s="730">
        <f t="shared" si="72"/>
        <v>4459423.6042391341</v>
      </c>
      <c r="G806" s="674">
        <f t="shared" si="73"/>
        <v>4534371.9001086988</v>
      </c>
      <c r="H806" s="724">
        <f>+J785*G806+E806</f>
        <v>607702.38178869151</v>
      </c>
      <c r="I806" s="731">
        <f>+J786*G806+E806</f>
        <v>607702.38178869151</v>
      </c>
      <c r="J806" s="727">
        <f t="shared" si="74"/>
        <v>0</v>
      </c>
      <c r="K806" s="727"/>
      <c r="L806" s="732"/>
      <c r="M806" s="727">
        <f t="shared" si="75"/>
        <v>0</v>
      </c>
      <c r="N806" s="732"/>
      <c r="O806" s="727">
        <f t="shared" si="76"/>
        <v>0</v>
      </c>
      <c r="P806" s="727">
        <f t="shared" si="77"/>
        <v>0</v>
      </c>
      <c r="Q806" s="675"/>
    </row>
    <row r="807" spans="2:17">
      <c r="B807" s="332"/>
      <c r="C807" s="723">
        <f>IF(D784="","-",+C806+1)</f>
        <v>2031</v>
      </c>
      <c r="D807" s="674">
        <f t="shared" si="78"/>
        <v>4459423.6042391341</v>
      </c>
      <c r="E807" s="730">
        <f t="shared" si="79"/>
        <v>149896.59173913044</v>
      </c>
      <c r="F807" s="730">
        <f t="shared" si="72"/>
        <v>4309527.0125000039</v>
      </c>
      <c r="G807" s="674">
        <f t="shared" si="73"/>
        <v>4384475.3083695695</v>
      </c>
      <c r="H807" s="724">
        <f>+J785*G807+E807</f>
        <v>592568.30608457385</v>
      </c>
      <c r="I807" s="731">
        <f>+J786*G807+E807</f>
        <v>592568.30608457385</v>
      </c>
      <c r="J807" s="727">
        <f t="shared" si="74"/>
        <v>0</v>
      </c>
      <c r="K807" s="727"/>
      <c r="L807" s="732"/>
      <c r="M807" s="727">
        <f t="shared" si="75"/>
        <v>0</v>
      </c>
      <c r="N807" s="732"/>
      <c r="O807" s="727">
        <f t="shared" si="76"/>
        <v>0</v>
      </c>
      <c r="P807" s="727">
        <f t="shared" si="77"/>
        <v>0</v>
      </c>
      <c r="Q807" s="675"/>
    </row>
    <row r="808" spans="2:17">
      <c r="B808" s="332"/>
      <c r="C808" s="723">
        <f>IF(D784="","-",+C807+1)</f>
        <v>2032</v>
      </c>
      <c r="D808" s="674">
        <f t="shared" si="78"/>
        <v>4309527.0125000039</v>
      </c>
      <c r="E808" s="730">
        <f t="shared" si="79"/>
        <v>149896.59173913044</v>
      </c>
      <c r="F808" s="730">
        <f t="shared" si="72"/>
        <v>4159630.4207608737</v>
      </c>
      <c r="G808" s="674">
        <f t="shared" si="73"/>
        <v>4234578.7166304383</v>
      </c>
      <c r="H808" s="724">
        <f>+J785*G808+E808</f>
        <v>577434.23038045608</v>
      </c>
      <c r="I808" s="731">
        <f>+J786*G808+E808</f>
        <v>577434.23038045608</v>
      </c>
      <c r="J808" s="727">
        <f t="shared" si="74"/>
        <v>0</v>
      </c>
      <c r="K808" s="727"/>
      <c r="L808" s="732"/>
      <c r="M808" s="727">
        <f t="shared" si="75"/>
        <v>0</v>
      </c>
      <c r="N808" s="732"/>
      <c r="O808" s="727">
        <f t="shared" si="76"/>
        <v>0</v>
      </c>
      <c r="P808" s="727">
        <f t="shared" si="77"/>
        <v>0</v>
      </c>
      <c r="Q808" s="675"/>
    </row>
    <row r="809" spans="2:17">
      <c r="B809" s="332"/>
      <c r="C809" s="723">
        <f>IF(D784="","-",+C808+1)</f>
        <v>2033</v>
      </c>
      <c r="D809" s="674">
        <f t="shared" si="78"/>
        <v>4159630.4207608737</v>
      </c>
      <c r="E809" s="730">
        <f t="shared" si="79"/>
        <v>149896.59173913044</v>
      </c>
      <c r="F809" s="730">
        <f t="shared" si="72"/>
        <v>4009733.8290217435</v>
      </c>
      <c r="G809" s="674">
        <f t="shared" si="73"/>
        <v>4084682.1248913086</v>
      </c>
      <c r="H809" s="724">
        <f>+J785*G809+E809</f>
        <v>562300.15467633842</v>
      </c>
      <c r="I809" s="731">
        <f>+J786*G809+E809</f>
        <v>562300.15467633842</v>
      </c>
      <c r="J809" s="727">
        <f t="shared" si="74"/>
        <v>0</v>
      </c>
      <c r="K809" s="727"/>
      <c r="L809" s="732"/>
      <c r="M809" s="727">
        <f t="shared" si="75"/>
        <v>0</v>
      </c>
      <c r="N809" s="732"/>
      <c r="O809" s="727">
        <f t="shared" si="76"/>
        <v>0</v>
      </c>
      <c r="P809" s="727">
        <f t="shared" si="77"/>
        <v>0</v>
      </c>
      <c r="Q809" s="675"/>
    </row>
    <row r="810" spans="2:17">
      <c r="B810" s="332"/>
      <c r="C810" s="723">
        <f>IF(D784="","-",+C809+1)</f>
        <v>2034</v>
      </c>
      <c r="D810" s="674">
        <f t="shared" si="78"/>
        <v>4009733.8290217435</v>
      </c>
      <c r="E810" s="730">
        <f t="shared" si="79"/>
        <v>149896.59173913044</v>
      </c>
      <c r="F810" s="730">
        <f t="shared" si="72"/>
        <v>3859837.2372826133</v>
      </c>
      <c r="G810" s="674">
        <f t="shared" si="73"/>
        <v>3934785.5331521784</v>
      </c>
      <c r="H810" s="724">
        <f>+J785*G810+E810</f>
        <v>547166.07897222077</v>
      </c>
      <c r="I810" s="731">
        <f>+J786*G810+E810</f>
        <v>547166.07897222077</v>
      </c>
      <c r="J810" s="727">
        <f t="shared" si="74"/>
        <v>0</v>
      </c>
      <c r="K810" s="727"/>
      <c r="L810" s="732"/>
      <c r="M810" s="727">
        <f t="shared" si="75"/>
        <v>0</v>
      </c>
      <c r="N810" s="732"/>
      <c r="O810" s="727">
        <f t="shared" si="76"/>
        <v>0</v>
      </c>
      <c r="P810" s="727">
        <f t="shared" si="77"/>
        <v>0</v>
      </c>
      <c r="Q810" s="675"/>
    </row>
    <row r="811" spans="2:17">
      <c r="B811" s="332"/>
      <c r="C811" s="723">
        <f>IF(D784="","-",+C810+1)</f>
        <v>2035</v>
      </c>
      <c r="D811" s="674">
        <f t="shared" si="78"/>
        <v>3859837.2372826133</v>
      </c>
      <c r="E811" s="730">
        <f t="shared" si="79"/>
        <v>149896.59173913044</v>
      </c>
      <c r="F811" s="730">
        <f t="shared" si="72"/>
        <v>3709940.6455434831</v>
      </c>
      <c r="G811" s="674">
        <f t="shared" si="73"/>
        <v>3784888.9414130482</v>
      </c>
      <c r="H811" s="724">
        <f>+J785*G811+E811</f>
        <v>532032.00326810312</v>
      </c>
      <c r="I811" s="731">
        <f>+J786*G811+E811</f>
        <v>532032.00326810312</v>
      </c>
      <c r="J811" s="727">
        <f t="shared" si="74"/>
        <v>0</v>
      </c>
      <c r="K811" s="727"/>
      <c r="L811" s="732"/>
      <c r="M811" s="727">
        <f t="shared" si="75"/>
        <v>0</v>
      </c>
      <c r="N811" s="732"/>
      <c r="O811" s="727">
        <f t="shared" si="76"/>
        <v>0</v>
      </c>
      <c r="P811" s="727">
        <f t="shared" si="77"/>
        <v>0</v>
      </c>
      <c r="Q811" s="675"/>
    </row>
    <row r="812" spans="2:17">
      <c r="B812" s="332"/>
      <c r="C812" s="723">
        <f>IF(D784="","-",+C811+1)</f>
        <v>2036</v>
      </c>
      <c r="D812" s="674">
        <f t="shared" si="78"/>
        <v>3709940.6455434831</v>
      </c>
      <c r="E812" s="730">
        <f t="shared" si="79"/>
        <v>149896.59173913044</v>
      </c>
      <c r="F812" s="730">
        <f t="shared" si="72"/>
        <v>3560044.0538043529</v>
      </c>
      <c r="G812" s="674">
        <f t="shared" si="73"/>
        <v>3634992.349673918</v>
      </c>
      <c r="H812" s="724">
        <f>+J785*G812+E812</f>
        <v>516897.9275639854</v>
      </c>
      <c r="I812" s="731">
        <f>+J786*G812+E812</f>
        <v>516897.9275639854</v>
      </c>
      <c r="J812" s="727">
        <f t="shared" si="74"/>
        <v>0</v>
      </c>
      <c r="K812" s="727"/>
      <c r="L812" s="732"/>
      <c r="M812" s="727">
        <f t="shared" si="75"/>
        <v>0</v>
      </c>
      <c r="N812" s="732"/>
      <c r="O812" s="727">
        <f t="shared" si="76"/>
        <v>0</v>
      </c>
      <c r="P812" s="727">
        <f t="shared" si="77"/>
        <v>0</v>
      </c>
      <c r="Q812" s="675"/>
    </row>
    <row r="813" spans="2:17">
      <c r="B813" s="332"/>
      <c r="C813" s="723">
        <f>IF(D784="","-",+C812+1)</f>
        <v>2037</v>
      </c>
      <c r="D813" s="674">
        <f t="shared" si="78"/>
        <v>3560044.0538043529</v>
      </c>
      <c r="E813" s="730">
        <f t="shared" si="79"/>
        <v>149896.59173913044</v>
      </c>
      <c r="F813" s="730">
        <f t="shared" si="72"/>
        <v>3410147.4620652227</v>
      </c>
      <c r="G813" s="674">
        <f t="shared" si="73"/>
        <v>3485095.7579347878</v>
      </c>
      <c r="H813" s="724">
        <f>+J785*G813+E813</f>
        <v>501763.85185986769</v>
      </c>
      <c r="I813" s="731">
        <f>+J786*G813+E813</f>
        <v>501763.85185986769</v>
      </c>
      <c r="J813" s="727">
        <f t="shared" si="74"/>
        <v>0</v>
      </c>
      <c r="K813" s="727"/>
      <c r="L813" s="732"/>
      <c r="M813" s="727">
        <f t="shared" si="75"/>
        <v>0</v>
      </c>
      <c r="N813" s="732"/>
      <c r="O813" s="727">
        <f t="shared" si="76"/>
        <v>0</v>
      </c>
      <c r="P813" s="727">
        <f t="shared" si="77"/>
        <v>0</v>
      </c>
      <c r="Q813" s="675"/>
    </row>
    <row r="814" spans="2:17">
      <c r="B814" s="332"/>
      <c r="C814" s="723">
        <f>IF(D784="","-",+C813+1)</f>
        <v>2038</v>
      </c>
      <c r="D814" s="674">
        <f t="shared" si="78"/>
        <v>3410147.4620652227</v>
      </c>
      <c r="E814" s="730">
        <f t="shared" si="79"/>
        <v>149896.59173913044</v>
      </c>
      <c r="F814" s="730">
        <f t="shared" si="72"/>
        <v>3260250.8703260925</v>
      </c>
      <c r="G814" s="674">
        <f t="shared" si="73"/>
        <v>3335199.1661956576</v>
      </c>
      <c r="H814" s="724">
        <f>+J785*G814+E814</f>
        <v>486629.77615575003</v>
      </c>
      <c r="I814" s="731">
        <f>+J786*G814+E814</f>
        <v>486629.77615575003</v>
      </c>
      <c r="J814" s="727">
        <f t="shared" si="74"/>
        <v>0</v>
      </c>
      <c r="K814" s="727"/>
      <c r="L814" s="732"/>
      <c r="M814" s="727">
        <f t="shared" si="75"/>
        <v>0</v>
      </c>
      <c r="N814" s="732"/>
      <c r="O814" s="727">
        <f t="shared" si="76"/>
        <v>0</v>
      </c>
      <c r="P814" s="727">
        <f t="shared" si="77"/>
        <v>0</v>
      </c>
      <c r="Q814" s="675"/>
    </row>
    <row r="815" spans="2:17">
      <c r="B815" s="332"/>
      <c r="C815" s="723">
        <f>IF(D784="","-",+C814+1)</f>
        <v>2039</v>
      </c>
      <c r="D815" s="674">
        <f t="shared" si="78"/>
        <v>3260250.8703260925</v>
      </c>
      <c r="E815" s="730">
        <f t="shared" si="79"/>
        <v>149896.59173913044</v>
      </c>
      <c r="F815" s="730">
        <f t="shared" si="72"/>
        <v>3110354.2785869623</v>
      </c>
      <c r="G815" s="674">
        <f t="shared" si="73"/>
        <v>3185302.5744565274</v>
      </c>
      <c r="H815" s="724">
        <f>+J785*G815+E815</f>
        <v>471495.70045163232</v>
      </c>
      <c r="I815" s="731">
        <f>+J786*G815+E815</f>
        <v>471495.70045163232</v>
      </c>
      <c r="J815" s="727">
        <f t="shared" si="74"/>
        <v>0</v>
      </c>
      <c r="K815" s="727"/>
      <c r="L815" s="732"/>
      <c r="M815" s="727">
        <f t="shared" si="75"/>
        <v>0</v>
      </c>
      <c r="N815" s="732"/>
      <c r="O815" s="727">
        <f t="shared" si="76"/>
        <v>0</v>
      </c>
      <c r="P815" s="727">
        <f t="shared" si="77"/>
        <v>0</v>
      </c>
      <c r="Q815" s="675"/>
    </row>
    <row r="816" spans="2:17">
      <c r="B816" s="332"/>
      <c r="C816" s="723">
        <f>IF(D784="","-",+C815+1)</f>
        <v>2040</v>
      </c>
      <c r="D816" s="674">
        <f t="shared" si="78"/>
        <v>3110354.2785869623</v>
      </c>
      <c r="E816" s="730">
        <f t="shared" si="79"/>
        <v>149896.59173913044</v>
      </c>
      <c r="F816" s="730">
        <f t="shared" si="72"/>
        <v>2960457.6868478321</v>
      </c>
      <c r="G816" s="674">
        <f t="shared" si="73"/>
        <v>3035405.9827173972</v>
      </c>
      <c r="H816" s="724">
        <f>+J785*G816+E816</f>
        <v>456361.62474751467</v>
      </c>
      <c r="I816" s="731">
        <f>+J786*G816+E816</f>
        <v>456361.62474751467</v>
      </c>
      <c r="J816" s="727">
        <f t="shared" si="74"/>
        <v>0</v>
      </c>
      <c r="K816" s="727"/>
      <c r="L816" s="732"/>
      <c r="M816" s="727">
        <f t="shared" si="75"/>
        <v>0</v>
      </c>
      <c r="N816" s="732"/>
      <c r="O816" s="727">
        <f t="shared" si="76"/>
        <v>0</v>
      </c>
      <c r="P816" s="727">
        <f t="shared" si="77"/>
        <v>0</v>
      </c>
      <c r="Q816" s="675"/>
    </row>
    <row r="817" spans="2:17">
      <c r="B817" s="332"/>
      <c r="C817" s="723">
        <f>IF(D784="","-",+C816+1)</f>
        <v>2041</v>
      </c>
      <c r="D817" s="674">
        <f t="shared" si="78"/>
        <v>2960457.6868478321</v>
      </c>
      <c r="E817" s="730">
        <f t="shared" si="79"/>
        <v>149896.59173913044</v>
      </c>
      <c r="F817" s="730">
        <f t="shared" si="72"/>
        <v>2810561.0951087018</v>
      </c>
      <c r="G817" s="674">
        <f t="shared" si="73"/>
        <v>2885509.390978267</v>
      </c>
      <c r="H817" s="724">
        <f>+J785*G817+E817</f>
        <v>441227.54904339695</v>
      </c>
      <c r="I817" s="731">
        <f>+J786*G817+E817</f>
        <v>441227.54904339695</v>
      </c>
      <c r="J817" s="727">
        <f t="shared" si="74"/>
        <v>0</v>
      </c>
      <c r="K817" s="727"/>
      <c r="L817" s="732"/>
      <c r="M817" s="727">
        <f t="shared" si="75"/>
        <v>0</v>
      </c>
      <c r="N817" s="732"/>
      <c r="O817" s="727">
        <f t="shared" si="76"/>
        <v>0</v>
      </c>
      <c r="P817" s="727">
        <f t="shared" si="77"/>
        <v>0</v>
      </c>
      <c r="Q817" s="675"/>
    </row>
    <row r="818" spans="2:17">
      <c r="B818" s="332"/>
      <c r="C818" s="723">
        <f>IF(D784="","-",+C817+1)</f>
        <v>2042</v>
      </c>
      <c r="D818" s="674">
        <f t="shared" si="78"/>
        <v>2810561.0951087018</v>
      </c>
      <c r="E818" s="730">
        <f t="shared" si="79"/>
        <v>149896.59173913044</v>
      </c>
      <c r="F818" s="730">
        <f t="shared" si="72"/>
        <v>2660664.5033695716</v>
      </c>
      <c r="G818" s="674">
        <f t="shared" si="73"/>
        <v>2735612.7992391367</v>
      </c>
      <c r="H818" s="724">
        <f>+J785*G818+E818</f>
        <v>426093.4733392793</v>
      </c>
      <c r="I818" s="731">
        <f>+J786*G818+E818</f>
        <v>426093.4733392793</v>
      </c>
      <c r="J818" s="727">
        <f t="shared" si="74"/>
        <v>0</v>
      </c>
      <c r="K818" s="727"/>
      <c r="L818" s="732"/>
      <c r="M818" s="727">
        <f t="shared" si="75"/>
        <v>0</v>
      </c>
      <c r="N818" s="732"/>
      <c r="O818" s="727">
        <f t="shared" si="76"/>
        <v>0</v>
      </c>
      <c r="P818" s="727">
        <f t="shared" si="77"/>
        <v>0</v>
      </c>
      <c r="Q818" s="675"/>
    </row>
    <row r="819" spans="2:17">
      <c r="B819" s="332"/>
      <c r="C819" s="723">
        <f>IF(D784="","-",+C818+1)</f>
        <v>2043</v>
      </c>
      <c r="D819" s="674">
        <f t="shared" si="78"/>
        <v>2660664.5033695716</v>
      </c>
      <c r="E819" s="730">
        <f t="shared" si="79"/>
        <v>149896.59173913044</v>
      </c>
      <c r="F819" s="730">
        <f t="shared" si="72"/>
        <v>2510767.9116304414</v>
      </c>
      <c r="G819" s="674">
        <f t="shared" si="73"/>
        <v>2585716.2075000065</v>
      </c>
      <c r="H819" s="724">
        <f>+J785*G819+E819</f>
        <v>410959.39763516159</v>
      </c>
      <c r="I819" s="731">
        <f>+J786*G819+E819</f>
        <v>410959.39763516159</v>
      </c>
      <c r="J819" s="727">
        <f t="shared" si="74"/>
        <v>0</v>
      </c>
      <c r="K819" s="727"/>
      <c r="L819" s="732"/>
      <c r="M819" s="727">
        <f t="shared" si="75"/>
        <v>0</v>
      </c>
      <c r="N819" s="732"/>
      <c r="O819" s="727">
        <f t="shared" si="76"/>
        <v>0</v>
      </c>
      <c r="P819" s="727">
        <f t="shared" si="77"/>
        <v>0</v>
      </c>
      <c r="Q819" s="675"/>
    </row>
    <row r="820" spans="2:17">
      <c r="B820" s="332"/>
      <c r="C820" s="723">
        <f>IF(D784="","-",+C819+1)</f>
        <v>2044</v>
      </c>
      <c r="D820" s="674">
        <f t="shared" si="78"/>
        <v>2510767.9116304414</v>
      </c>
      <c r="E820" s="730">
        <f t="shared" si="79"/>
        <v>149896.59173913044</v>
      </c>
      <c r="F820" s="730">
        <f t="shared" si="72"/>
        <v>2360871.3198913112</v>
      </c>
      <c r="G820" s="674">
        <f t="shared" si="73"/>
        <v>2435819.6157608763</v>
      </c>
      <c r="H820" s="724">
        <f>+J785*G820+E820</f>
        <v>395825.32193104387</v>
      </c>
      <c r="I820" s="731">
        <f>+J786*G820+E820</f>
        <v>395825.32193104387</v>
      </c>
      <c r="J820" s="727">
        <f t="shared" si="74"/>
        <v>0</v>
      </c>
      <c r="K820" s="727"/>
      <c r="L820" s="732"/>
      <c r="M820" s="727">
        <f t="shared" si="75"/>
        <v>0</v>
      </c>
      <c r="N820" s="732"/>
      <c r="O820" s="727">
        <f t="shared" si="76"/>
        <v>0</v>
      </c>
      <c r="P820" s="727">
        <f t="shared" si="77"/>
        <v>0</v>
      </c>
      <c r="Q820" s="675"/>
    </row>
    <row r="821" spans="2:17">
      <c r="B821" s="332"/>
      <c r="C821" s="723">
        <f>IF(D784="","-",+C820+1)</f>
        <v>2045</v>
      </c>
      <c r="D821" s="674">
        <f t="shared" si="78"/>
        <v>2360871.3198913112</v>
      </c>
      <c r="E821" s="730">
        <f t="shared" si="79"/>
        <v>149896.59173913044</v>
      </c>
      <c r="F821" s="730">
        <f t="shared" si="72"/>
        <v>2210974.728152181</v>
      </c>
      <c r="G821" s="674">
        <f t="shared" si="73"/>
        <v>2285923.0240217461</v>
      </c>
      <c r="H821" s="724">
        <f>+J785*G821+E821</f>
        <v>380691.24622692622</v>
      </c>
      <c r="I821" s="731">
        <f>+J786*G821+E821</f>
        <v>380691.24622692622</v>
      </c>
      <c r="J821" s="727">
        <f t="shared" si="74"/>
        <v>0</v>
      </c>
      <c r="K821" s="727"/>
      <c r="L821" s="732"/>
      <c r="M821" s="727">
        <f t="shared" si="75"/>
        <v>0</v>
      </c>
      <c r="N821" s="732"/>
      <c r="O821" s="727">
        <f t="shared" si="76"/>
        <v>0</v>
      </c>
      <c r="P821" s="727">
        <f t="shared" si="77"/>
        <v>0</v>
      </c>
      <c r="Q821" s="675"/>
    </row>
    <row r="822" spans="2:17">
      <c r="B822" s="332"/>
      <c r="C822" s="723">
        <f>IF(D784="","-",+C821+1)</f>
        <v>2046</v>
      </c>
      <c r="D822" s="674">
        <f t="shared" si="78"/>
        <v>2210974.728152181</v>
      </c>
      <c r="E822" s="730">
        <f t="shared" si="79"/>
        <v>149896.59173913044</v>
      </c>
      <c r="F822" s="730">
        <f t="shared" si="72"/>
        <v>2061078.1364130506</v>
      </c>
      <c r="G822" s="674">
        <f t="shared" si="73"/>
        <v>2136026.4322826159</v>
      </c>
      <c r="H822" s="724">
        <f>+J785*G822+E822</f>
        <v>365557.17052280856</v>
      </c>
      <c r="I822" s="731">
        <f>+J786*G822+E822</f>
        <v>365557.17052280856</v>
      </c>
      <c r="J822" s="727">
        <f t="shared" si="74"/>
        <v>0</v>
      </c>
      <c r="K822" s="727"/>
      <c r="L822" s="732"/>
      <c r="M822" s="727">
        <f t="shared" si="75"/>
        <v>0</v>
      </c>
      <c r="N822" s="732"/>
      <c r="O822" s="727">
        <f t="shared" si="76"/>
        <v>0</v>
      </c>
      <c r="P822" s="727">
        <f t="shared" si="77"/>
        <v>0</v>
      </c>
      <c r="Q822" s="675"/>
    </row>
    <row r="823" spans="2:17">
      <c r="B823" s="332"/>
      <c r="C823" s="723">
        <f>IF(D784="","-",+C822+1)</f>
        <v>2047</v>
      </c>
      <c r="D823" s="674">
        <f t="shared" si="78"/>
        <v>2061078.1364130506</v>
      </c>
      <c r="E823" s="730">
        <f t="shared" si="79"/>
        <v>149896.59173913044</v>
      </c>
      <c r="F823" s="730">
        <f t="shared" si="72"/>
        <v>1911181.5446739201</v>
      </c>
      <c r="G823" s="674">
        <f t="shared" si="73"/>
        <v>1986129.8405434852</v>
      </c>
      <c r="H823" s="724">
        <f>+J785*G823+E823</f>
        <v>350423.09481869079</v>
      </c>
      <c r="I823" s="731">
        <f>+J786*G823+E823</f>
        <v>350423.09481869079</v>
      </c>
      <c r="J823" s="727">
        <f t="shared" si="74"/>
        <v>0</v>
      </c>
      <c r="K823" s="727"/>
      <c r="L823" s="732"/>
      <c r="M823" s="727">
        <f t="shared" si="75"/>
        <v>0</v>
      </c>
      <c r="N823" s="732"/>
      <c r="O823" s="727">
        <f t="shared" si="76"/>
        <v>0</v>
      </c>
      <c r="P823" s="727">
        <f t="shared" si="77"/>
        <v>0</v>
      </c>
      <c r="Q823" s="675"/>
    </row>
    <row r="824" spans="2:17">
      <c r="B824" s="332"/>
      <c r="C824" s="723">
        <f>IF(D784="","-",+C823+1)</f>
        <v>2048</v>
      </c>
      <c r="D824" s="674">
        <f t="shared" si="78"/>
        <v>1911181.5446739201</v>
      </c>
      <c r="E824" s="730">
        <f t="shared" si="79"/>
        <v>149896.59173913044</v>
      </c>
      <c r="F824" s="730">
        <f t="shared" si="72"/>
        <v>1761284.9529347897</v>
      </c>
      <c r="G824" s="674">
        <f t="shared" si="73"/>
        <v>1836233.248804355</v>
      </c>
      <c r="H824" s="724">
        <f>+J785*G824+E824</f>
        <v>335289.01911457314</v>
      </c>
      <c r="I824" s="731">
        <f>+J786*G824+E824</f>
        <v>335289.01911457314</v>
      </c>
      <c r="J824" s="727">
        <f t="shared" si="74"/>
        <v>0</v>
      </c>
      <c r="K824" s="727"/>
      <c r="L824" s="732"/>
      <c r="M824" s="727">
        <f t="shared" si="75"/>
        <v>0</v>
      </c>
      <c r="N824" s="732"/>
      <c r="O824" s="727">
        <f t="shared" si="76"/>
        <v>0</v>
      </c>
      <c r="P824" s="727">
        <f t="shared" si="77"/>
        <v>0</v>
      </c>
      <c r="Q824" s="675"/>
    </row>
    <row r="825" spans="2:17">
      <c r="B825" s="332"/>
      <c r="C825" s="723">
        <f>IF(D784="","-",+C824+1)</f>
        <v>2049</v>
      </c>
      <c r="D825" s="674">
        <f t="shared" si="78"/>
        <v>1761284.9529347897</v>
      </c>
      <c r="E825" s="730">
        <f t="shared" si="79"/>
        <v>149896.59173913044</v>
      </c>
      <c r="F825" s="730">
        <f t="shared" si="72"/>
        <v>1611388.3611956593</v>
      </c>
      <c r="G825" s="674">
        <f t="shared" si="73"/>
        <v>1686336.6570652244</v>
      </c>
      <c r="H825" s="724">
        <f>+J785*G825+E825</f>
        <v>320154.94341045537</v>
      </c>
      <c r="I825" s="731">
        <f>+J786*G825+E825</f>
        <v>320154.94341045537</v>
      </c>
      <c r="J825" s="727">
        <f t="shared" si="74"/>
        <v>0</v>
      </c>
      <c r="K825" s="727"/>
      <c r="L825" s="732"/>
      <c r="M825" s="727">
        <f t="shared" si="75"/>
        <v>0</v>
      </c>
      <c r="N825" s="732"/>
      <c r="O825" s="727">
        <f t="shared" si="76"/>
        <v>0</v>
      </c>
      <c r="P825" s="727">
        <f t="shared" si="77"/>
        <v>0</v>
      </c>
      <c r="Q825" s="675"/>
    </row>
    <row r="826" spans="2:17">
      <c r="B826" s="332"/>
      <c r="C826" s="723">
        <f>IF(D784="","-",+C825+1)</f>
        <v>2050</v>
      </c>
      <c r="D826" s="674">
        <f t="shared" si="78"/>
        <v>1611388.3611956593</v>
      </c>
      <c r="E826" s="730">
        <f t="shared" si="79"/>
        <v>149896.59173913044</v>
      </c>
      <c r="F826" s="730">
        <f t="shared" si="72"/>
        <v>1461491.7694565288</v>
      </c>
      <c r="G826" s="674">
        <f t="shared" si="73"/>
        <v>1536440.0653260942</v>
      </c>
      <c r="H826" s="724">
        <f>+J785*G826+E826</f>
        <v>305020.86770633771</v>
      </c>
      <c r="I826" s="731">
        <f>+J786*G826+E826</f>
        <v>305020.86770633771</v>
      </c>
      <c r="J826" s="727">
        <f t="shared" si="74"/>
        <v>0</v>
      </c>
      <c r="K826" s="727"/>
      <c r="L826" s="732"/>
      <c r="M826" s="727">
        <f t="shared" si="75"/>
        <v>0</v>
      </c>
      <c r="N826" s="732"/>
      <c r="O826" s="727">
        <f t="shared" si="76"/>
        <v>0</v>
      </c>
      <c r="P826" s="727">
        <f t="shared" si="77"/>
        <v>0</v>
      </c>
      <c r="Q826" s="675"/>
    </row>
    <row r="827" spans="2:17">
      <c r="B827" s="332"/>
      <c r="C827" s="723">
        <f>IF(D784="","-",+C826+1)</f>
        <v>2051</v>
      </c>
      <c r="D827" s="674">
        <f t="shared" si="78"/>
        <v>1461491.7694565288</v>
      </c>
      <c r="E827" s="730">
        <f t="shared" si="79"/>
        <v>149896.59173913044</v>
      </c>
      <c r="F827" s="730">
        <f t="shared" si="72"/>
        <v>1311595.1777173984</v>
      </c>
      <c r="G827" s="674">
        <f t="shared" si="73"/>
        <v>1386543.4735869635</v>
      </c>
      <c r="H827" s="724">
        <f>+J785*G827+E827</f>
        <v>289886.79200221994</v>
      </c>
      <c r="I827" s="731">
        <f>+J786*G827+E827</f>
        <v>289886.79200221994</v>
      </c>
      <c r="J827" s="727">
        <f t="shared" si="74"/>
        <v>0</v>
      </c>
      <c r="K827" s="727"/>
      <c r="L827" s="732"/>
      <c r="M827" s="727">
        <f t="shared" si="75"/>
        <v>0</v>
      </c>
      <c r="N827" s="732"/>
      <c r="O827" s="727">
        <f t="shared" si="76"/>
        <v>0</v>
      </c>
      <c r="P827" s="727">
        <f t="shared" si="77"/>
        <v>0</v>
      </c>
      <c r="Q827" s="675"/>
    </row>
    <row r="828" spans="2:17">
      <c r="B828" s="332"/>
      <c r="C828" s="723">
        <f>IF(D784="","-",+C827+1)</f>
        <v>2052</v>
      </c>
      <c r="D828" s="674">
        <f t="shared" si="78"/>
        <v>1311595.1777173984</v>
      </c>
      <c r="E828" s="730">
        <f t="shared" si="79"/>
        <v>149896.59173913044</v>
      </c>
      <c r="F828" s="730">
        <f t="shared" si="72"/>
        <v>1161698.5859782679</v>
      </c>
      <c r="G828" s="674">
        <f t="shared" si="73"/>
        <v>1236646.8818478333</v>
      </c>
      <c r="H828" s="724">
        <f>+J785*G828+E828</f>
        <v>274752.71629810228</v>
      </c>
      <c r="I828" s="731">
        <f>+J786*G828+E828</f>
        <v>274752.71629810228</v>
      </c>
      <c r="J828" s="727">
        <f t="shared" si="74"/>
        <v>0</v>
      </c>
      <c r="K828" s="727"/>
      <c r="L828" s="732"/>
      <c r="M828" s="727">
        <f t="shared" si="75"/>
        <v>0</v>
      </c>
      <c r="N828" s="732"/>
      <c r="O828" s="727">
        <f t="shared" si="76"/>
        <v>0</v>
      </c>
      <c r="P828" s="727">
        <f t="shared" si="77"/>
        <v>0</v>
      </c>
      <c r="Q828" s="675"/>
    </row>
    <row r="829" spans="2:17">
      <c r="B829" s="332"/>
      <c r="C829" s="723">
        <f>IF(D784="","-",+C828+1)</f>
        <v>2053</v>
      </c>
      <c r="D829" s="674">
        <f t="shared" si="78"/>
        <v>1161698.5859782679</v>
      </c>
      <c r="E829" s="730">
        <f t="shared" si="79"/>
        <v>149896.59173913044</v>
      </c>
      <c r="F829" s="730">
        <f t="shared" si="72"/>
        <v>1011801.9942391375</v>
      </c>
      <c r="G829" s="674">
        <f t="shared" si="73"/>
        <v>1086750.2901087026</v>
      </c>
      <c r="H829" s="724">
        <f>+J785*G829+E829</f>
        <v>259618.64059398454</v>
      </c>
      <c r="I829" s="731">
        <f>+J786*G829+E829</f>
        <v>259618.64059398454</v>
      </c>
      <c r="J829" s="727">
        <f t="shared" si="74"/>
        <v>0</v>
      </c>
      <c r="K829" s="727"/>
      <c r="L829" s="732"/>
      <c r="M829" s="727">
        <f t="shared" si="75"/>
        <v>0</v>
      </c>
      <c r="N829" s="732"/>
      <c r="O829" s="727">
        <f t="shared" si="76"/>
        <v>0</v>
      </c>
      <c r="P829" s="727">
        <f t="shared" si="77"/>
        <v>0</v>
      </c>
      <c r="Q829" s="675"/>
    </row>
    <row r="830" spans="2:17">
      <c r="B830" s="332"/>
      <c r="C830" s="723">
        <f>IF(D784="","-",+C829+1)</f>
        <v>2054</v>
      </c>
      <c r="D830" s="674">
        <f t="shared" si="78"/>
        <v>1011801.9942391375</v>
      </c>
      <c r="E830" s="730">
        <f t="shared" si="79"/>
        <v>149896.59173913044</v>
      </c>
      <c r="F830" s="730">
        <f t="shared" si="72"/>
        <v>861905.40250000707</v>
      </c>
      <c r="G830" s="674">
        <f t="shared" si="73"/>
        <v>936853.69836957229</v>
      </c>
      <c r="H830" s="724">
        <f>+J785*G830+E830</f>
        <v>244484.56488986686</v>
      </c>
      <c r="I830" s="731">
        <f>+J786*G830+E830</f>
        <v>244484.56488986686</v>
      </c>
      <c r="J830" s="727">
        <f t="shared" si="74"/>
        <v>0</v>
      </c>
      <c r="K830" s="727"/>
      <c r="L830" s="732"/>
      <c r="M830" s="727">
        <f t="shared" si="75"/>
        <v>0</v>
      </c>
      <c r="N830" s="732"/>
      <c r="O830" s="727">
        <f t="shared" si="76"/>
        <v>0</v>
      </c>
      <c r="P830" s="727">
        <f t="shared" si="77"/>
        <v>0</v>
      </c>
      <c r="Q830" s="675"/>
    </row>
    <row r="831" spans="2:17">
      <c r="B831" s="332"/>
      <c r="C831" s="723">
        <f>IF(D784="","-",+C830+1)</f>
        <v>2055</v>
      </c>
      <c r="D831" s="674">
        <f t="shared" si="78"/>
        <v>861905.40250000707</v>
      </c>
      <c r="E831" s="730">
        <f t="shared" si="79"/>
        <v>149896.59173913044</v>
      </c>
      <c r="F831" s="730">
        <f t="shared" si="72"/>
        <v>712008.81076087663</v>
      </c>
      <c r="G831" s="674">
        <f t="shared" si="73"/>
        <v>786957.10663044185</v>
      </c>
      <c r="H831" s="724">
        <f>+J785*G831+E831</f>
        <v>229350.48918574915</v>
      </c>
      <c r="I831" s="731">
        <f>+J786*G831+E831</f>
        <v>229350.48918574915</v>
      </c>
      <c r="J831" s="727">
        <f t="shared" si="74"/>
        <v>0</v>
      </c>
      <c r="K831" s="727"/>
      <c r="L831" s="732"/>
      <c r="M831" s="727">
        <f t="shared" si="75"/>
        <v>0</v>
      </c>
      <c r="N831" s="732"/>
      <c r="O831" s="727">
        <f t="shared" si="76"/>
        <v>0</v>
      </c>
      <c r="P831" s="727">
        <f t="shared" si="77"/>
        <v>0</v>
      </c>
      <c r="Q831" s="675"/>
    </row>
    <row r="832" spans="2:17">
      <c r="B832" s="332"/>
      <c r="C832" s="723">
        <f>IF(D784="","-",+C831+1)</f>
        <v>2056</v>
      </c>
      <c r="D832" s="674">
        <f t="shared" si="78"/>
        <v>712008.81076087663</v>
      </c>
      <c r="E832" s="730">
        <f t="shared" si="79"/>
        <v>149896.59173913044</v>
      </c>
      <c r="F832" s="730">
        <f t="shared" si="72"/>
        <v>562112.21902174619</v>
      </c>
      <c r="G832" s="674">
        <f t="shared" si="73"/>
        <v>637060.51489131141</v>
      </c>
      <c r="H832" s="724">
        <f>+J785*G832+E832</f>
        <v>214216.41348163143</v>
      </c>
      <c r="I832" s="731">
        <f>+J786*G832+E832</f>
        <v>214216.41348163143</v>
      </c>
      <c r="J832" s="727">
        <f t="shared" si="74"/>
        <v>0</v>
      </c>
      <c r="K832" s="727"/>
      <c r="L832" s="732"/>
      <c r="M832" s="727">
        <f t="shared" si="75"/>
        <v>0</v>
      </c>
      <c r="N832" s="732"/>
      <c r="O832" s="727">
        <f t="shared" si="76"/>
        <v>0</v>
      </c>
      <c r="P832" s="727">
        <f t="shared" si="77"/>
        <v>0</v>
      </c>
      <c r="Q832" s="675"/>
    </row>
    <row r="833" spans="2:17">
      <c r="B833" s="332"/>
      <c r="C833" s="723">
        <f>IF(D784="","-",+C832+1)</f>
        <v>2057</v>
      </c>
      <c r="D833" s="674">
        <f t="shared" si="78"/>
        <v>562112.21902174619</v>
      </c>
      <c r="E833" s="730">
        <f t="shared" si="79"/>
        <v>149896.59173913044</v>
      </c>
      <c r="F833" s="730">
        <f t="shared" si="72"/>
        <v>412215.62728261575</v>
      </c>
      <c r="G833" s="674">
        <f t="shared" si="73"/>
        <v>487163.92315218097</v>
      </c>
      <c r="H833" s="724">
        <f>+J785*G833+E833</f>
        <v>199082.33777751372</v>
      </c>
      <c r="I833" s="731">
        <f>+J786*G833+E833</f>
        <v>199082.33777751372</v>
      </c>
      <c r="J833" s="727">
        <f t="shared" si="74"/>
        <v>0</v>
      </c>
      <c r="K833" s="727"/>
      <c r="L833" s="732"/>
      <c r="M833" s="727">
        <f t="shared" si="75"/>
        <v>0</v>
      </c>
      <c r="N833" s="732"/>
      <c r="O833" s="727">
        <f t="shared" si="76"/>
        <v>0</v>
      </c>
      <c r="P833" s="727">
        <f t="shared" si="77"/>
        <v>0</v>
      </c>
      <c r="Q833" s="675"/>
    </row>
    <row r="834" spans="2:17">
      <c r="B834" s="332"/>
      <c r="C834" s="723">
        <f>IF(D784="","-",+C833+1)</f>
        <v>2058</v>
      </c>
      <c r="D834" s="674">
        <f t="shared" si="78"/>
        <v>412215.62728261575</v>
      </c>
      <c r="E834" s="730">
        <f t="shared" si="79"/>
        <v>149896.59173913044</v>
      </c>
      <c r="F834" s="730">
        <f t="shared" si="72"/>
        <v>262319.03554348531</v>
      </c>
      <c r="G834" s="674">
        <f t="shared" si="73"/>
        <v>337267.33141305053</v>
      </c>
      <c r="H834" s="724">
        <f>+J785*G834+E834</f>
        <v>183948.26207339601</v>
      </c>
      <c r="I834" s="731">
        <f>+J786*G834+E834</f>
        <v>183948.26207339601</v>
      </c>
      <c r="J834" s="727">
        <f t="shared" si="74"/>
        <v>0</v>
      </c>
      <c r="K834" s="727"/>
      <c r="L834" s="732"/>
      <c r="M834" s="727">
        <f t="shared" si="75"/>
        <v>0</v>
      </c>
      <c r="N834" s="732"/>
      <c r="O834" s="727">
        <f t="shared" si="76"/>
        <v>0</v>
      </c>
      <c r="P834" s="727">
        <f t="shared" si="77"/>
        <v>0</v>
      </c>
      <c r="Q834" s="675"/>
    </row>
    <row r="835" spans="2:17">
      <c r="B835" s="332"/>
      <c r="C835" s="723">
        <f>IF(D784="","-",+C834+1)</f>
        <v>2059</v>
      </c>
      <c r="D835" s="674">
        <f t="shared" si="78"/>
        <v>262319.03554348531</v>
      </c>
      <c r="E835" s="730">
        <f t="shared" si="79"/>
        <v>149896.59173913044</v>
      </c>
      <c r="F835" s="730">
        <f t="shared" si="72"/>
        <v>112422.44380435487</v>
      </c>
      <c r="G835" s="674">
        <f t="shared" si="73"/>
        <v>187370.73967392009</v>
      </c>
      <c r="H835" s="724">
        <f>+J785*G835+E835</f>
        <v>168814.18636927829</v>
      </c>
      <c r="I835" s="731">
        <f>+J786*G835+E835</f>
        <v>168814.18636927829</v>
      </c>
      <c r="J835" s="727">
        <f t="shared" si="74"/>
        <v>0</v>
      </c>
      <c r="K835" s="727"/>
      <c r="L835" s="732"/>
      <c r="M835" s="727">
        <f t="shared" si="75"/>
        <v>0</v>
      </c>
      <c r="N835" s="732"/>
      <c r="O835" s="727">
        <f t="shared" si="76"/>
        <v>0</v>
      </c>
      <c r="P835" s="727">
        <f t="shared" si="77"/>
        <v>0</v>
      </c>
      <c r="Q835" s="675"/>
    </row>
    <row r="836" spans="2:17">
      <c r="B836" s="332"/>
      <c r="C836" s="723">
        <f>IF(D784="","-",+C835+1)</f>
        <v>2060</v>
      </c>
      <c r="D836" s="674">
        <f t="shared" si="78"/>
        <v>112422.44380435487</v>
      </c>
      <c r="E836" s="730">
        <f t="shared" si="79"/>
        <v>112422.44380435487</v>
      </c>
      <c r="F836" s="730">
        <f t="shared" si="72"/>
        <v>0</v>
      </c>
      <c r="G836" s="674">
        <f t="shared" si="73"/>
        <v>56211.221902177436</v>
      </c>
      <c r="H836" s="724">
        <f>+J785*G836+E836</f>
        <v>118097.72219339937</v>
      </c>
      <c r="I836" s="731">
        <f>+J786*G836+E836</f>
        <v>118097.72219339937</v>
      </c>
      <c r="J836" s="727">
        <f t="shared" si="74"/>
        <v>0</v>
      </c>
      <c r="K836" s="727"/>
      <c r="L836" s="732"/>
      <c r="M836" s="727">
        <f t="shared" si="75"/>
        <v>0</v>
      </c>
      <c r="N836" s="732"/>
      <c r="O836" s="727">
        <f t="shared" si="76"/>
        <v>0</v>
      </c>
      <c r="P836" s="727">
        <f t="shared" si="77"/>
        <v>0</v>
      </c>
      <c r="Q836" s="675"/>
    </row>
    <row r="837" spans="2:17">
      <c r="B837" s="332"/>
      <c r="C837" s="723">
        <f>IF(D784="","-",+C836+1)</f>
        <v>2061</v>
      </c>
      <c r="D837" s="674">
        <f t="shared" si="78"/>
        <v>0</v>
      </c>
      <c r="E837" s="730">
        <f t="shared" si="79"/>
        <v>0</v>
      </c>
      <c r="F837" s="730">
        <f t="shared" si="72"/>
        <v>0</v>
      </c>
      <c r="G837" s="674">
        <f t="shared" si="73"/>
        <v>0</v>
      </c>
      <c r="H837" s="724">
        <f>+J785*G837+E837</f>
        <v>0</v>
      </c>
      <c r="I837" s="731">
        <f>+J786*G837+E837</f>
        <v>0</v>
      </c>
      <c r="J837" s="727">
        <f t="shared" si="74"/>
        <v>0</v>
      </c>
      <c r="K837" s="727"/>
      <c r="L837" s="732"/>
      <c r="M837" s="727">
        <f t="shared" si="75"/>
        <v>0</v>
      </c>
      <c r="N837" s="732"/>
      <c r="O837" s="727">
        <f t="shared" si="76"/>
        <v>0</v>
      </c>
      <c r="P837" s="727">
        <f t="shared" si="77"/>
        <v>0</v>
      </c>
      <c r="Q837" s="675"/>
    </row>
    <row r="838" spans="2:17">
      <c r="B838" s="332"/>
      <c r="C838" s="723">
        <f>IF(D784="","-",+C837+1)</f>
        <v>2062</v>
      </c>
      <c r="D838" s="674">
        <f t="shared" si="78"/>
        <v>0</v>
      </c>
      <c r="E838" s="730">
        <f t="shared" si="79"/>
        <v>0</v>
      </c>
      <c r="F838" s="730">
        <f t="shared" si="72"/>
        <v>0</v>
      </c>
      <c r="G838" s="674">
        <f t="shared" si="73"/>
        <v>0</v>
      </c>
      <c r="H838" s="724">
        <f>+J785*G838+E838</f>
        <v>0</v>
      </c>
      <c r="I838" s="731">
        <f>+J786*G838+E838</f>
        <v>0</v>
      </c>
      <c r="J838" s="727">
        <f t="shared" si="74"/>
        <v>0</v>
      </c>
      <c r="K838" s="727"/>
      <c r="L838" s="732"/>
      <c r="M838" s="727">
        <f t="shared" si="75"/>
        <v>0</v>
      </c>
      <c r="N838" s="732"/>
      <c r="O838" s="727">
        <f t="shared" si="76"/>
        <v>0</v>
      </c>
      <c r="P838" s="727">
        <f t="shared" si="77"/>
        <v>0</v>
      </c>
      <c r="Q838" s="675"/>
    </row>
    <row r="839" spans="2:17">
      <c r="B839" s="332"/>
      <c r="C839" s="723">
        <f>IF(D784="","-",+C838+1)</f>
        <v>2063</v>
      </c>
      <c r="D839" s="674">
        <f t="shared" si="78"/>
        <v>0</v>
      </c>
      <c r="E839" s="730">
        <f t="shared" si="79"/>
        <v>0</v>
      </c>
      <c r="F839" s="730">
        <f t="shared" si="72"/>
        <v>0</v>
      </c>
      <c r="G839" s="674">
        <f t="shared" si="73"/>
        <v>0</v>
      </c>
      <c r="H839" s="724">
        <f>+J785*G839+E839</f>
        <v>0</v>
      </c>
      <c r="I839" s="731">
        <f>+J786*G839+E839</f>
        <v>0</v>
      </c>
      <c r="J839" s="727">
        <f t="shared" si="74"/>
        <v>0</v>
      </c>
      <c r="K839" s="727"/>
      <c r="L839" s="732"/>
      <c r="M839" s="727">
        <f t="shared" si="75"/>
        <v>0</v>
      </c>
      <c r="N839" s="732"/>
      <c r="O839" s="727">
        <f t="shared" si="76"/>
        <v>0</v>
      </c>
      <c r="P839" s="727">
        <f t="shared" si="77"/>
        <v>0</v>
      </c>
      <c r="Q839" s="675"/>
    </row>
    <row r="840" spans="2:17">
      <c r="B840" s="332"/>
      <c r="C840" s="723">
        <f>IF(D784="","-",+C839+1)</f>
        <v>2064</v>
      </c>
      <c r="D840" s="674">
        <f t="shared" si="78"/>
        <v>0</v>
      </c>
      <c r="E840" s="730">
        <f t="shared" si="79"/>
        <v>0</v>
      </c>
      <c r="F840" s="730">
        <f t="shared" si="72"/>
        <v>0</v>
      </c>
      <c r="G840" s="674">
        <f t="shared" si="73"/>
        <v>0</v>
      </c>
      <c r="H840" s="724">
        <f>+J785*G840+E840</f>
        <v>0</v>
      </c>
      <c r="I840" s="731">
        <f>+J786*G840+E840</f>
        <v>0</v>
      </c>
      <c r="J840" s="727">
        <f t="shared" si="74"/>
        <v>0</v>
      </c>
      <c r="K840" s="727"/>
      <c r="L840" s="732"/>
      <c r="M840" s="727">
        <f t="shared" si="75"/>
        <v>0</v>
      </c>
      <c r="N840" s="732"/>
      <c r="O840" s="727">
        <f t="shared" si="76"/>
        <v>0</v>
      </c>
      <c r="P840" s="727">
        <f t="shared" si="77"/>
        <v>0</v>
      </c>
      <c r="Q840" s="675"/>
    </row>
    <row r="841" spans="2:17">
      <c r="B841" s="332"/>
      <c r="C841" s="723">
        <f>IF(D784="","-",+C840+1)</f>
        <v>2065</v>
      </c>
      <c r="D841" s="674">
        <f t="shared" si="78"/>
        <v>0</v>
      </c>
      <c r="E841" s="730">
        <f t="shared" si="79"/>
        <v>0</v>
      </c>
      <c r="F841" s="730">
        <f t="shared" si="72"/>
        <v>0</v>
      </c>
      <c r="G841" s="674">
        <f t="shared" si="73"/>
        <v>0</v>
      </c>
      <c r="H841" s="724">
        <f>+J785*G841+E841</f>
        <v>0</v>
      </c>
      <c r="I841" s="731">
        <f>+J786*G841+E841</f>
        <v>0</v>
      </c>
      <c r="J841" s="727">
        <f t="shared" si="74"/>
        <v>0</v>
      </c>
      <c r="K841" s="727"/>
      <c r="L841" s="732"/>
      <c r="M841" s="727">
        <f t="shared" si="75"/>
        <v>0</v>
      </c>
      <c r="N841" s="732"/>
      <c r="O841" s="727">
        <f t="shared" si="76"/>
        <v>0</v>
      </c>
      <c r="P841" s="727">
        <f t="shared" si="77"/>
        <v>0</v>
      </c>
      <c r="Q841" s="675"/>
    </row>
    <row r="842" spans="2:17">
      <c r="B842" s="332"/>
      <c r="C842" s="723">
        <f>IF(D784="","-",+C841+1)</f>
        <v>2066</v>
      </c>
      <c r="D842" s="674">
        <f t="shared" si="78"/>
        <v>0</v>
      </c>
      <c r="E842" s="730">
        <f t="shared" si="79"/>
        <v>0</v>
      </c>
      <c r="F842" s="730">
        <f t="shared" si="72"/>
        <v>0</v>
      </c>
      <c r="G842" s="674">
        <f t="shared" si="73"/>
        <v>0</v>
      </c>
      <c r="H842" s="724">
        <f>+J785*G842+E842</f>
        <v>0</v>
      </c>
      <c r="I842" s="731">
        <f>+J786*G842+E842</f>
        <v>0</v>
      </c>
      <c r="J842" s="727">
        <f t="shared" si="74"/>
        <v>0</v>
      </c>
      <c r="K842" s="727"/>
      <c r="L842" s="732"/>
      <c r="M842" s="727">
        <f t="shared" si="75"/>
        <v>0</v>
      </c>
      <c r="N842" s="732"/>
      <c r="O842" s="727">
        <f t="shared" si="76"/>
        <v>0</v>
      </c>
      <c r="P842" s="727">
        <f t="shared" si="77"/>
        <v>0</v>
      </c>
      <c r="Q842" s="675"/>
    </row>
    <row r="843" spans="2:17">
      <c r="B843" s="332"/>
      <c r="C843" s="723">
        <f>IF(D784="","-",+C842+1)</f>
        <v>2067</v>
      </c>
      <c r="D843" s="674">
        <f t="shared" si="78"/>
        <v>0</v>
      </c>
      <c r="E843" s="730">
        <f t="shared" si="79"/>
        <v>0</v>
      </c>
      <c r="F843" s="730">
        <f t="shared" si="72"/>
        <v>0</v>
      </c>
      <c r="G843" s="674">
        <f t="shared" si="73"/>
        <v>0</v>
      </c>
      <c r="H843" s="724">
        <f>+J785*G843+E843</f>
        <v>0</v>
      </c>
      <c r="I843" s="731">
        <f>+J786*G843+E843</f>
        <v>0</v>
      </c>
      <c r="J843" s="727">
        <f t="shared" si="74"/>
        <v>0</v>
      </c>
      <c r="K843" s="727"/>
      <c r="L843" s="732"/>
      <c r="M843" s="727">
        <f t="shared" si="75"/>
        <v>0</v>
      </c>
      <c r="N843" s="732"/>
      <c r="O843" s="727">
        <f t="shared" si="76"/>
        <v>0</v>
      </c>
      <c r="P843" s="727">
        <f t="shared" si="77"/>
        <v>0</v>
      </c>
      <c r="Q843" s="675"/>
    </row>
    <row r="844" spans="2:17">
      <c r="B844" s="332"/>
      <c r="C844" s="723">
        <f>IF(D784="","-",+C843+1)</f>
        <v>2068</v>
      </c>
      <c r="D844" s="674">
        <f t="shared" si="78"/>
        <v>0</v>
      </c>
      <c r="E844" s="730">
        <f t="shared" si="79"/>
        <v>0</v>
      </c>
      <c r="F844" s="730">
        <f t="shared" si="72"/>
        <v>0</v>
      </c>
      <c r="G844" s="674">
        <f t="shared" si="73"/>
        <v>0</v>
      </c>
      <c r="H844" s="724">
        <f>+J785*G844+E844</f>
        <v>0</v>
      </c>
      <c r="I844" s="731">
        <f>+J786*G844+E844</f>
        <v>0</v>
      </c>
      <c r="J844" s="727">
        <f t="shared" si="74"/>
        <v>0</v>
      </c>
      <c r="K844" s="727"/>
      <c r="L844" s="732"/>
      <c r="M844" s="727">
        <f t="shared" si="75"/>
        <v>0</v>
      </c>
      <c r="N844" s="732"/>
      <c r="O844" s="727">
        <f t="shared" si="76"/>
        <v>0</v>
      </c>
      <c r="P844" s="727">
        <f t="shared" si="77"/>
        <v>0</v>
      </c>
      <c r="Q844" s="675"/>
    </row>
    <row r="845" spans="2:17">
      <c r="B845" s="332"/>
      <c r="C845" s="723">
        <f>IF(D784="","-",+C844+1)</f>
        <v>2069</v>
      </c>
      <c r="D845" s="674">
        <f t="shared" si="78"/>
        <v>0</v>
      </c>
      <c r="E845" s="730">
        <f t="shared" si="79"/>
        <v>0</v>
      </c>
      <c r="F845" s="730">
        <f t="shared" si="72"/>
        <v>0</v>
      </c>
      <c r="G845" s="674">
        <f t="shared" si="73"/>
        <v>0</v>
      </c>
      <c r="H845" s="724">
        <f>+J785*G845+E845</f>
        <v>0</v>
      </c>
      <c r="I845" s="731">
        <f>+J786*G845+E845</f>
        <v>0</v>
      </c>
      <c r="J845" s="727">
        <f t="shared" si="74"/>
        <v>0</v>
      </c>
      <c r="K845" s="727"/>
      <c r="L845" s="732"/>
      <c r="M845" s="727">
        <f t="shared" si="75"/>
        <v>0</v>
      </c>
      <c r="N845" s="732"/>
      <c r="O845" s="727">
        <f t="shared" si="76"/>
        <v>0</v>
      </c>
      <c r="P845" s="727">
        <f t="shared" si="77"/>
        <v>0</v>
      </c>
      <c r="Q845" s="675"/>
    </row>
    <row r="846" spans="2:17">
      <c r="B846" s="332"/>
      <c r="C846" s="723">
        <f>IF(D784="","-",+C845+1)</f>
        <v>2070</v>
      </c>
      <c r="D846" s="674">
        <f t="shared" si="78"/>
        <v>0</v>
      </c>
      <c r="E846" s="730">
        <f t="shared" si="79"/>
        <v>0</v>
      </c>
      <c r="F846" s="730">
        <f t="shared" si="72"/>
        <v>0</v>
      </c>
      <c r="G846" s="674">
        <f t="shared" si="73"/>
        <v>0</v>
      </c>
      <c r="H846" s="724">
        <f>+J785*G846+E846</f>
        <v>0</v>
      </c>
      <c r="I846" s="731">
        <f>+J786*G846+E846</f>
        <v>0</v>
      </c>
      <c r="J846" s="727">
        <f t="shared" si="74"/>
        <v>0</v>
      </c>
      <c r="K846" s="727"/>
      <c r="L846" s="732"/>
      <c r="M846" s="727">
        <f t="shared" si="75"/>
        <v>0</v>
      </c>
      <c r="N846" s="732"/>
      <c r="O846" s="727">
        <f t="shared" si="76"/>
        <v>0</v>
      </c>
      <c r="P846" s="727">
        <f t="shared" si="77"/>
        <v>0</v>
      </c>
      <c r="Q846" s="675"/>
    </row>
    <row r="847" spans="2:17">
      <c r="B847" s="332"/>
      <c r="C847" s="723">
        <f>IF(D784="","-",+C846+1)</f>
        <v>2071</v>
      </c>
      <c r="D847" s="674">
        <f t="shared" si="78"/>
        <v>0</v>
      </c>
      <c r="E847" s="730">
        <f t="shared" si="79"/>
        <v>0</v>
      </c>
      <c r="F847" s="730">
        <f t="shared" si="72"/>
        <v>0</v>
      </c>
      <c r="G847" s="674">
        <f t="shared" si="73"/>
        <v>0</v>
      </c>
      <c r="H847" s="724">
        <f>+J785*G847+E847</f>
        <v>0</v>
      </c>
      <c r="I847" s="731">
        <f>+J786*G847+E847</f>
        <v>0</v>
      </c>
      <c r="J847" s="727">
        <f t="shared" si="74"/>
        <v>0</v>
      </c>
      <c r="K847" s="727"/>
      <c r="L847" s="732"/>
      <c r="M847" s="727">
        <f t="shared" si="75"/>
        <v>0</v>
      </c>
      <c r="N847" s="732"/>
      <c r="O847" s="727">
        <f t="shared" si="76"/>
        <v>0</v>
      </c>
      <c r="P847" s="727">
        <f t="shared" si="77"/>
        <v>0</v>
      </c>
      <c r="Q847" s="675"/>
    </row>
    <row r="848" spans="2:17">
      <c r="B848" s="332"/>
      <c r="C848" s="723">
        <f>IF(D784="","-",+C847+1)</f>
        <v>2072</v>
      </c>
      <c r="D848" s="674">
        <f t="shared" si="78"/>
        <v>0</v>
      </c>
      <c r="E848" s="730">
        <f t="shared" si="79"/>
        <v>0</v>
      </c>
      <c r="F848" s="730">
        <f t="shared" si="72"/>
        <v>0</v>
      </c>
      <c r="G848" s="674">
        <f t="shared" si="73"/>
        <v>0</v>
      </c>
      <c r="H848" s="724">
        <f>+J785*G848+E848</f>
        <v>0</v>
      </c>
      <c r="I848" s="731">
        <f>+J786*G848+E848</f>
        <v>0</v>
      </c>
      <c r="J848" s="727">
        <f t="shared" si="74"/>
        <v>0</v>
      </c>
      <c r="K848" s="727"/>
      <c r="L848" s="732"/>
      <c r="M848" s="727">
        <f t="shared" si="75"/>
        <v>0</v>
      </c>
      <c r="N848" s="732"/>
      <c r="O848" s="727">
        <f t="shared" si="76"/>
        <v>0</v>
      </c>
      <c r="P848" s="727">
        <f t="shared" si="77"/>
        <v>0</v>
      </c>
      <c r="Q848" s="675"/>
    </row>
    <row r="849" spans="1:17" ht="13.5" thickBot="1">
      <c r="B849" s="332"/>
      <c r="C849" s="735">
        <f>IF(D784="","-",+C848+1)</f>
        <v>2073</v>
      </c>
      <c r="D849" s="736">
        <f t="shared" si="78"/>
        <v>0</v>
      </c>
      <c r="E849" s="737">
        <f t="shared" si="79"/>
        <v>0</v>
      </c>
      <c r="F849" s="737">
        <f t="shared" si="72"/>
        <v>0</v>
      </c>
      <c r="G849" s="736">
        <f t="shared" si="73"/>
        <v>0</v>
      </c>
      <c r="H849" s="738">
        <f>+J785*G849+E849</f>
        <v>0</v>
      </c>
      <c r="I849" s="738">
        <f>+J786*G849+E849</f>
        <v>0</v>
      </c>
      <c r="J849" s="739">
        <f t="shared" si="74"/>
        <v>0</v>
      </c>
      <c r="K849" s="727"/>
      <c r="L849" s="740"/>
      <c r="M849" s="739">
        <f t="shared" si="75"/>
        <v>0</v>
      </c>
      <c r="N849" s="740"/>
      <c r="O849" s="739">
        <f t="shared" si="76"/>
        <v>0</v>
      </c>
      <c r="P849" s="739">
        <f t="shared" si="77"/>
        <v>0</v>
      </c>
      <c r="Q849" s="675"/>
    </row>
    <row r="850" spans="1:17">
      <c r="B850" s="332"/>
      <c r="C850" s="674" t="s">
        <v>288</v>
      </c>
      <c r="D850" s="670"/>
      <c r="E850" s="670">
        <f>SUM(E790:E849)</f>
        <v>6895243.2200000007</v>
      </c>
      <c r="F850" s="670"/>
      <c r="G850" s="670"/>
      <c r="H850" s="670">
        <f>SUM(H790:H849)</f>
        <v>23429220.926748626</v>
      </c>
      <c r="I850" s="670">
        <f>SUM(I790:I849)</f>
        <v>23429220.926748626</v>
      </c>
      <c r="J850" s="670">
        <f>SUM(J790:J849)</f>
        <v>0</v>
      </c>
      <c r="K850" s="670"/>
      <c r="L850" s="670"/>
      <c r="M850" s="670"/>
      <c r="N850" s="670"/>
      <c r="O850" s="670"/>
      <c r="Q850" s="670"/>
    </row>
    <row r="851" spans="1:17">
      <c r="B851" s="332"/>
      <c r="D851" s="564"/>
      <c r="E851" s="541"/>
      <c r="F851" s="541"/>
      <c r="G851" s="541"/>
      <c r="H851" s="541"/>
      <c r="I851" s="647"/>
      <c r="J851" s="647"/>
      <c r="K851" s="670"/>
      <c r="L851" s="647"/>
      <c r="M851" s="647"/>
      <c r="N851" s="647"/>
      <c r="O851" s="647"/>
      <c r="Q851" s="670"/>
    </row>
    <row r="852" spans="1:17">
      <c r="B852" s="332"/>
      <c r="C852" s="541" t="s">
        <v>601</v>
      </c>
      <c r="D852" s="564"/>
      <c r="E852" s="541"/>
      <c r="F852" s="541"/>
      <c r="G852" s="541"/>
      <c r="H852" s="541"/>
      <c r="I852" s="647"/>
      <c r="J852" s="647"/>
      <c r="K852" s="670"/>
      <c r="L852" s="647"/>
      <c r="M852" s="647"/>
      <c r="N852" s="647"/>
      <c r="O852" s="647"/>
      <c r="Q852" s="670"/>
    </row>
    <row r="853" spans="1:17">
      <c r="B853" s="332"/>
      <c r="D853" s="564"/>
      <c r="E853" s="541"/>
      <c r="F853" s="541"/>
      <c r="G853" s="541"/>
      <c r="H853" s="541"/>
      <c r="I853" s="647"/>
      <c r="J853" s="647"/>
      <c r="K853" s="670"/>
      <c r="L853" s="647"/>
      <c r="M853" s="647"/>
      <c r="N853" s="647"/>
      <c r="O853" s="647"/>
      <c r="Q853" s="670"/>
    </row>
    <row r="854" spans="1:17">
      <c r="B854" s="332"/>
      <c r="C854" s="577" t="s">
        <v>602</v>
      </c>
      <c r="D854" s="674"/>
      <c r="E854" s="674"/>
      <c r="F854" s="674"/>
      <c r="G854" s="674"/>
      <c r="H854" s="670"/>
      <c r="I854" s="670"/>
      <c r="J854" s="675"/>
      <c r="K854" s="675"/>
      <c r="L854" s="675"/>
      <c r="M854" s="675"/>
      <c r="N854" s="675"/>
      <c r="O854" s="675"/>
      <c r="Q854" s="675"/>
    </row>
    <row r="855" spans="1:17">
      <c r="B855" s="332"/>
      <c r="C855" s="577" t="s">
        <v>476</v>
      </c>
      <c r="D855" s="674"/>
      <c r="E855" s="674"/>
      <c r="F855" s="674"/>
      <c r="G855" s="674"/>
      <c r="H855" s="670"/>
      <c r="I855" s="670"/>
      <c r="J855" s="675"/>
      <c r="K855" s="675"/>
      <c r="L855" s="675"/>
      <c r="M855" s="675"/>
      <c r="N855" s="675"/>
      <c r="O855" s="675"/>
      <c r="Q855" s="675"/>
    </row>
    <row r="856" spans="1:17">
      <c r="B856" s="332"/>
      <c r="C856" s="577" t="s">
        <v>289</v>
      </c>
      <c r="D856" s="674"/>
      <c r="E856" s="674"/>
      <c r="F856" s="674"/>
      <c r="G856" s="674"/>
      <c r="H856" s="670"/>
      <c r="I856" s="670"/>
      <c r="J856" s="675"/>
      <c r="K856" s="675"/>
      <c r="L856" s="675"/>
      <c r="M856" s="675"/>
      <c r="N856" s="675"/>
      <c r="O856" s="675"/>
      <c r="Q856" s="675"/>
    </row>
    <row r="857" spans="1:17" ht="20.25">
      <c r="A857" s="676" t="s">
        <v>770</v>
      </c>
      <c r="B857" s="541"/>
      <c r="C857" s="656"/>
      <c r="D857" s="564"/>
      <c r="E857" s="541"/>
      <c r="F857" s="646"/>
      <c r="G857" s="646"/>
      <c r="H857" s="541"/>
      <c r="I857" s="647"/>
      <c r="L857" s="677"/>
      <c r="M857" s="677"/>
      <c r="N857" s="677"/>
      <c r="O857" s="592" t="str">
        <f>"Page "&amp;SUM(Q$3:Q857)&amp;" of "</f>
        <v xml:space="preserve">Page 11 of </v>
      </c>
      <c r="P857" s="593">
        <f>COUNT(Q$8:Q$58123)</f>
        <v>16</v>
      </c>
      <c r="Q857" s="761">
        <v>1</v>
      </c>
    </row>
    <row r="858" spans="1:17">
      <c r="B858" s="541"/>
      <c r="C858" s="541"/>
      <c r="D858" s="564"/>
      <c r="E858" s="541"/>
      <c r="F858" s="541"/>
      <c r="G858" s="541"/>
      <c r="H858" s="541"/>
      <c r="I858" s="647"/>
      <c r="J858" s="541"/>
      <c r="K858" s="589"/>
      <c r="Q858" s="589"/>
    </row>
    <row r="859" spans="1:17" ht="18">
      <c r="B859" s="596" t="s">
        <v>174</v>
      </c>
      <c r="C859" s="678" t="s">
        <v>290</v>
      </c>
      <c r="D859" s="564"/>
      <c r="E859" s="541"/>
      <c r="F859" s="541"/>
      <c r="G859" s="541"/>
      <c r="H859" s="541"/>
      <c r="I859" s="647"/>
      <c r="J859" s="647"/>
      <c r="K859" s="670"/>
      <c r="L859" s="647"/>
      <c r="M859" s="647"/>
      <c r="N859" s="647"/>
      <c r="O859" s="647"/>
      <c r="Q859" s="670"/>
    </row>
    <row r="860" spans="1:17" ht="18.75">
      <c r="B860" s="596"/>
      <c r="C860" s="595"/>
      <c r="D860" s="564"/>
      <c r="E860" s="541"/>
      <c r="F860" s="541"/>
      <c r="G860" s="541"/>
      <c r="H860" s="541"/>
      <c r="I860" s="647"/>
      <c r="J860" s="647"/>
      <c r="K860" s="670"/>
      <c r="L860" s="647"/>
      <c r="M860" s="647"/>
      <c r="N860" s="647"/>
      <c r="O860" s="647"/>
      <c r="Q860" s="670"/>
    </row>
    <row r="861" spans="1:17" ht="18.75">
      <c r="B861" s="596"/>
      <c r="C861" s="595" t="s">
        <v>291</v>
      </c>
      <c r="D861" s="564"/>
      <c r="E861" s="541"/>
      <c r="F861" s="541"/>
      <c r="G861" s="541"/>
      <c r="H861" s="541"/>
      <c r="I861" s="647"/>
      <c r="J861" s="647"/>
      <c r="K861" s="670"/>
      <c r="L861" s="647"/>
      <c r="M861" s="647"/>
      <c r="N861" s="647"/>
      <c r="O861" s="647"/>
      <c r="Q861" s="670"/>
    </row>
    <row r="862" spans="1:17" ht="15.75" thickBot="1">
      <c r="B862" s="332"/>
      <c r="C862" s="398"/>
      <c r="D862" s="564"/>
      <c r="E862" s="541"/>
      <c r="F862" s="541"/>
      <c r="G862" s="541"/>
      <c r="H862" s="541"/>
      <c r="I862" s="647"/>
      <c r="J862" s="647"/>
      <c r="K862" s="670"/>
      <c r="L862" s="647"/>
      <c r="M862" s="647"/>
      <c r="N862" s="647"/>
      <c r="O862" s="647"/>
      <c r="Q862" s="670"/>
    </row>
    <row r="863" spans="1:17" ht="15.75">
      <c r="B863" s="332"/>
      <c r="C863" s="597" t="s">
        <v>292</v>
      </c>
      <c r="D863" s="564"/>
      <c r="E863" s="541"/>
      <c r="F863" s="541"/>
      <c r="G863" s="541"/>
      <c r="H863" s="870"/>
      <c r="I863" s="541" t="s">
        <v>271</v>
      </c>
      <c r="J863" s="541"/>
      <c r="K863" s="589"/>
      <c r="L863" s="762">
        <f>+J869</f>
        <v>2020</v>
      </c>
      <c r="M863" s="744" t="s">
        <v>254</v>
      </c>
      <c r="N863" s="744" t="s">
        <v>255</v>
      </c>
      <c r="O863" s="745" t="s">
        <v>256</v>
      </c>
      <c r="Q863" s="589"/>
    </row>
    <row r="864" spans="1:17" ht="15.75">
      <c r="B864" s="332"/>
      <c r="C864" s="597"/>
      <c r="D864" s="564"/>
      <c r="E864" s="541"/>
      <c r="F864" s="541"/>
      <c r="H864" s="541"/>
      <c r="I864" s="682"/>
      <c r="J864" s="682"/>
      <c r="K864" s="683"/>
      <c r="L864" s="763" t="s">
        <v>455</v>
      </c>
      <c r="M864" s="764">
        <f>VLOOKUP(J869,C876:P935,10)</f>
        <v>5887656.2604113696</v>
      </c>
      <c r="N864" s="764">
        <f>VLOOKUP(J869,C876:P935,12)</f>
        <v>5887656.2604113696</v>
      </c>
      <c r="O864" s="765">
        <f>+N864-M864</f>
        <v>0</v>
      </c>
      <c r="Q864" s="683"/>
    </row>
    <row r="865" spans="1:17">
      <c r="B865" s="332"/>
      <c r="C865" s="685" t="s">
        <v>293</v>
      </c>
      <c r="D865" s="1544" t="s">
        <v>983</v>
      </c>
      <c r="E865" s="1544"/>
      <c r="F865" s="1544"/>
      <c r="G865" s="1544"/>
      <c r="H865" s="1544"/>
      <c r="I865" s="647"/>
      <c r="J865" s="647"/>
      <c r="K865" s="670"/>
      <c r="L865" s="763" t="s">
        <v>456</v>
      </c>
      <c r="M865" s="766">
        <f>VLOOKUP(J869,C876:P935,6)</f>
        <v>5557489.1290206779</v>
      </c>
      <c r="N865" s="766">
        <f>VLOOKUP(J869,C876:P935,7)</f>
        <v>5557489.1290206779</v>
      </c>
      <c r="O865" s="767">
        <f>+N865-M865</f>
        <v>0</v>
      </c>
      <c r="Q865" s="670"/>
    </row>
    <row r="866" spans="1:17" ht="13.5" thickBot="1">
      <c r="B866" s="332"/>
      <c r="C866" s="687"/>
      <c r="D866" s="688"/>
      <c r="E866" s="672"/>
      <c r="F866" s="672"/>
      <c r="G866" s="672"/>
      <c r="H866" s="689"/>
      <c r="I866" s="647"/>
      <c r="J866" s="647"/>
      <c r="K866" s="670"/>
      <c r="L866" s="708" t="s">
        <v>457</v>
      </c>
      <c r="M866" s="768">
        <f>+M865-M864</f>
        <v>-330167.13139069173</v>
      </c>
      <c r="N866" s="768">
        <f>+N865-N864</f>
        <v>-330167.13139069173</v>
      </c>
      <c r="O866" s="769">
        <f>+O865-O864</f>
        <v>0</v>
      </c>
      <c r="Q866" s="670"/>
    </row>
    <row r="867" spans="1:17" ht="13.5" thickBot="1">
      <c r="B867" s="332"/>
      <c r="C867" s="690"/>
      <c r="D867" s="691"/>
      <c r="E867" s="689"/>
      <c r="F867" s="689"/>
      <c r="G867" s="689"/>
      <c r="H867" s="689"/>
      <c r="I867" s="689"/>
      <c r="J867" s="689"/>
      <c r="K867" s="692"/>
      <c r="L867" s="689"/>
      <c r="M867" s="689"/>
      <c r="N867" s="689"/>
      <c r="O867" s="689"/>
      <c r="P867" s="577"/>
      <c r="Q867" s="692"/>
    </row>
    <row r="868" spans="1:17" ht="13.5" thickBot="1">
      <c r="B868" s="332"/>
      <c r="C868" s="694" t="s">
        <v>294</v>
      </c>
      <c r="D868" s="695"/>
      <c r="E868" s="695"/>
      <c r="F868" s="695"/>
      <c r="G868" s="695"/>
      <c r="H868" s="695"/>
      <c r="I868" s="695"/>
      <c r="J868" s="695"/>
      <c r="K868" s="697"/>
      <c r="P868" s="698"/>
      <c r="Q868" s="697"/>
    </row>
    <row r="869" spans="1:17" ht="15">
      <c r="A869" s="693"/>
      <c r="B869" s="332"/>
      <c r="C869" s="700" t="s">
        <v>272</v>
      </c>
      <c r="D869" s="1256">
        <v>48782793.729999997</v>
      </c>
      <c r="E869" s="656" t="s">
        <v>273</v>
      </c>
      <c r="H869" s="701"/>
      <c r="I869" s="701"/>
      <c r="J869" s="702">
        <f>$J$95</f>
        <v>2020</v>
      </c>
      <c r="K869" s="587"/>
      <c r="L869" s="1545" t="s">
        <v>274</v>
      </c>
      <c r="M869" s="1545"/>
      <c r="N869" s="1545"/>
      <c r="O869" s="1545"/>
      <c r="P869" s="589"/>
      <c r="Q869" s="587"/>
    </row>
    <row r="870" spans="1:17">
      <c r="A870" s="693"/>
      <c r="B870" s="332"/>
      <c r="C870" s="700" t="s">
        <v>275</v>
      </c>
      <c r="D870" s="872">
        <v>2016</v>
      </c>
      <c r="E870" s="700" t="s">
        <v>276</v>
      </c>
      <c r="F870" s="701"/>
      <c r="G870" s="701"/>
      <c r="I870" s="332"/>
      <c r="J870" s="875">
        <v>0</v>
      </c>
      <c r="K870" s="703"/>
      <c r="L870" s="670" t="s">
        <v>475</v>
      </c>
      <c r="P870" s="589"/>
      <c r="Q870" s="703"/>
    </row>
    <row r="871" spans="1:17">
      <c r="A871" s="693"/>
      <c r="B871" s="332"/>
      <c r="C871" s="700" t="s">
        <v>277</v>
      </c>
      <c r="D871" s="1257">
        <v>6</v>
      </c>
      <c r="E871" s="700" t="s">
        <v>278</v>
      </c>
      <c r="F871" s="701"/>
      <c r="G871" s="701"/>
      <c r="I871" s="332"/>
      <c r="J871" s="704">
        <f>$F$70</f>
        <v>0.1009634410531228</v>
      </c>
      <c r="K871" s="705"/>
      <c r="L871" s="541" t="str">
        <f>"          INPUT TRUE-UP ARR (WITH &amp; WITHOUT INCENTIVES) FROM EACH PRIOR YEAR"</f>
        <v xml:space="preserve">          INPUT TRUE-UP ARR (WITH &amp; WITHOUT INCENTIVES) FROM EACH PRIOR YEAR</v>
      </c>
      <c r="P871" s="589"/>
      <c r="Q871" s="705"/>
    </row>
    <row r="872" spans="1:17">
      <c r="A872" s="693"/>
      <c r="B872" s="332"/>
      <c r="C872" s="700" t="s">
        <v>279</v>
      </c>
      <c r="D872" s="706">
        <f>H79</f>
        <v>46</v>
      </c>
      <c r="E872" s="700" t="s">
        <v>280</v>
      </c>
      <c r="F872" s="701"/>
      <c r="G872" s="701"/>
      <c r="I872" s="332"/>
      <c r="J872" s="704">
        <f>IF(H863="",J871,$F$69)</f>
        <v>0.1009634410531228</v>
      </c>
      <c r="K872" s="707"/>
      <c r="L872" s="541" t="s">
        <v>362</v>
      </c>
      <c r="M872" s="707"/>
      <c r="N872" s="707"/>
      <c r="O872" s="707"/>
      <c r="P872" s="589"/>
      <c r="Q872" s="707"/>
    </row>
    <row r="873" spans="1:17" ht="13.5" thickBot="1">
      <c r="A873" s="693"/>
      <c r="B873" s="332"/>
      <c r="C873" s="700" t="s">
        <v>281</v>
      </c>
      <c r="D873" s="874" t="s">
        <v>974</v>
      </c>
      <c r="E873" s="708" t="s">
        <v>282</v>
      </c>
      <c r="F873" s="709"/>
      <c r="G873" s="709"/>
      <c r="H873" s="710"/>
      <c r="I873" s="710"/>
      <c r="J873" s="686">
        <f>IF(D869=0,0,D869/D872)</f>
        <v>1060495.5158695651</v>
      </c>
      <c r="K873" s="670"/>
      <c r="L873" s="670" t="s">
        <v>363</v>
      </c>
      <c r="M873" s="670"/>
      <c r="N873" s="670"/>
      <c r="O873" s="670"/>
      <c r="P873" s="589"/>
      <c r="Q873" s="670"/>
    </row>
    <row r="874" spans="1:17" ht="38.25">
      <c r="A874" s="528"/>
      <c r="B874" s="528"/>
      <c r="C874" s="711" t="s">
        <v>272</v>
      </c>
      <c r="D874" s="712" t="s">
        <v>283</v>
      </c>
      <c r="E874" s="713" t="s">
        <v>284</v>
      </c>
      <c r="F874" s="712" t="s">
        <v>285</v>
      </c>
      <c r="G874" s="712" t="s">
        <v>458</v>
      </c>
      <c r="H874" s="713" t="s">
        <v>356</v>
      </c>
      <c r="I874" s="714" t="s">
        <v>356</v>
      </c>
      <c r="J874" s="711" t="s">
        <v>295</v>
      </c>
      <c r="K874" s="715"/>
      <c r="L874" s="713" t="s">
        <v>358</v>
      </c>
      <c r="M874" s="713" t="s">
        <v>364</v>
      </c>
      <c r="N874" s="713" t="s">
        <v>358</v>
      </c>
      <c r="O874" s="713" t="s">
        <v>366</v>
      </c>
      <c r="P874" s="713" t="s">
        <v>286</v>
      </c>
      <c r="Q874" s="716"/>
    </row>
    <row r="875" spans="1:17" ht="13.5" thickBot="1">
      <c r="B875" s="332"/>
      <c r="C875" s="717" t="s">
        <v>177</v>
      </c>
      <c r="D875" s="718" t="s">
        <v>178</v>
      </c>
      <c r="E875" s="717" t="s">
        <v>37</v>
      </c>
      <c r="F875" s="718" t="s">
        <v>178</v>
      </c>
      <c r="G875" s="718" t="s">
        <v>178</v>
      </c>
      <c r="H875" s="719" t="s">
        <v>298</v>
      </c>
      <c r="I875" s="720" t="s">
        <v>300</v>
      </c>
      <c r="J875" s="721" t="s">
        <v>389</v>
      </c>
      <c r="K875" s="722"/>
      <c r="L875" s="719" t="s">
        <v>287</v>
      </c>
      <c r="M875" s="719" t="s">
        <v>287</v>
      </c>
      <c r="N875" s="719" t="s">
        <v>467</v>
      </c>
      <c r="O875" s="719" t="s">
        <v>467</v>
      </c>
      <c r="P875" s="719" t="s">
        <v>467</v>
      </c>
      <c r="Q875" s="587"/>
    </row>
    <row r="876" spans="1:17">
      <c r="B876" s="332"/>
      <c r="C876" s="723">
        <f>IF(D870= "","-",D870)</f>
        <v>2016</v>
      </c>
      <c r="D876" s="674">
        <f>+D869</f>
        <v>48782793.729999997</v>
      </c>
      <c r="E876" s="724">
        <f>+J873/12*(12-D871)</f>
        <v>530247.75793478254</v>
      </c>
      <c r="F876" s="770">
        <f t="shared" ref="F876:F935" si="80">+D876-E876</f>
        <v>48252545.972065218</v>
      </c>
      <c r="G876" s="674">
        <f t="shared" ref="G876:G935" si="81">+(D876+F876)/2</f>
        <v>48517669.851032607</v>
      </c>
      <c r="H876" s="725">
        <f>+J871*G876+E876</f>
        <v>5428758.6579743866</v>
      </c>
      <c r="I876" s="726">
        <f>+J872*G876+E876</f>
        <v>5428758.6579743866</v>
      </c>
      <c r="J876" s="727">
        <f t="shared" ref="J876:J935" si="82">+I876-H876</f>
        <v>0</v>
      </c>
      <c r="K876" s="727"/>
      <c r="L876" s="728">
        <v>5862811</v>
      </c>
      <c r="M876" s="771">
        <f t="shared" ref="M876:M935" si="83">IF(L876&lt;&gt;0,+H876-L876,0)</f>
        <v>-434052.34202561341</v>
      </c>
      <c r="N876" s="728">
        <v>5862811</v>
      </c>
      <c r="O876" s="771">
        <f t="shared" ref="O876:O935" si="84">IF(N876&lt;&gt;0,+I876-N876,0)</f>
        <v>-434052.34202561341</v>
      </c>
      <c r="P876" s="771">
        <f t="shared" ref="P876:P935" si="85">+O876-M876</f>
        <v>0</v>
      </c>
      <c r="Q876" s="675"/>
    </row>
    <row r="877" spans="1:17">
      <c r="B877" s="332"/>
      <c r="C877" s="723">
        <f>IF(D870="","-",+C876+1)</f>
        <v>2017</v>
      </c>
      <c r="D877" s="674">
        <f t="shared" ref="D877:D935" si="86">F876</f>
        <v>48252545.972065218</v>
      </c>
      <c r="E877" s="730">
        <f>IF(D877&gt;$J$873,$J$873,D877)</f>
        <v>1060495.5158695651</v>
      </c>
      <c r="F877" s="730">
        <f t="shared" si="80"/>
        <v>47192050.456195652</v>
      </c>
      <c r="G877" s="674">
        <f t="shared" si="81"/>
        <v>47722298.214130431</v>
      </c>
      <c r="H877" s="724">
        <f>+J871*G877+E877</f>
        <v>5878702.958531471</v>
      </c>
      <c r="I877" s="731">
        <f>+J872*G877+E877</f>
        <v>5878702.958531471</v>
      </c>
      <c r="J877" s="727">
        <f t="shared" si="82"/>
        <v>0</v>
      </c>
      <c r="K877" s="727"/>
      <c r="L877" s="732">
        <v>3438786</v>
      </c>
      <c r="M877" s="727">
        <f t="shared" si="83"/>
        <v>2439916.958531471</v>
      </c>
      <c r="N877" s="732">
        <v>3438786</v>
      </c>
      <c r="O877" s="727">
        <f t="shared" si="84"/>
        <v>2439916.958531471</v>
      </c>
      <c r="P877" s="727">
        <f t="shared" si="85"/>
        <v>0</v>
      </c>
      <c r="Q877" s="675"/>
    </row>
    <row r="878" spans="1:17">
      <c r="B878" s="332"/>
      <c r="C878" s="723">
        <f>IF(D870="","-",+C877+1)</f>
        <v>2018</v>
      </c>
      <c r="D878" s="1453">
        <f t="shared" si="86"/>
        <v>47192050.456195652</v>
      </c>
      <c r="E878" s="730">
        <f t="shared" ref="E878:E935" si="87">IF(D878&gt;$J$873,$J$873,D878)</f>
        <v>1060495.5158695651</v>
      </c>
      <c r="F878" s="730">
        <f t="shared" si="80"/>
        <v>46131554.940326087</v>
      </c>
      <c r="G878" s="674">
        <f t="shared" si="81"/>
        <v>46661802.698260874</v>
      </c>
      <c r="H878" s="724">
        <f>+J871*G878+E878</f>
        <v>5771631.6820278736</v>
      </c>
      <c r="I878" s="731">
        <f>+J872*G878+E878</f>
        <v>5771631.6820278736</v>
      </c>
      <c r="J878" s="727">
        <f t="shared" si="82"/>
        <v>0</v>
      </c>
      <c r="K878" s="727"/>
      <c r="L878" s="732">
        <v>5966416</v>
      </c>
      <c r="M878" s="727">
        <f t="shared" si="83"/>
        <v>-194784.31797212642</v>
      </c>
      <c r="N878" s="732">
        <v>5966416</v>
      </c>
      <c r="O878" s="727">
        <f t="shared" si="84"/>
        <v>-194784.31797212642</v>
      </c>
      <c r="P878" s="727">
        <f t="shared" si="85"/>
        <v>0</v>
      </c>
      <c r="Q878" s="675"/>
    </row>
    <row r="879" spans="1:17">
      <c r="B879" s="332"/>
      <c r="C879" s="723">
        <f>IF(D870="","-",+C878+1)</f>
        <v>2019</v>
      </c>
      <c r="D879" s="1270">
        <f t="shared" si="86"/>
        <v>46131554.940326087</v>
      </c>
      <c r="E879" s="730">
        <f t="shared" si="87"/>
        <v>1060495.5158695651</v>
      </c>
      <c r="F879" s="730">
        <f t="shared" si="80"/>
        <v>45071059.424456522</v>
      </c>
      <c r="G879" s="674">
        <f t="shared" si="81"/>
        <v>45601307.182391301</v>
      </c>
      <c r="H879" s="724">
        <f>+J871*G879+E879</f>
        <v>5664560.4055242743</v>
      </c>
      <c r="I879" s="731">
        <f>+J872*G879+E879</f>
        <v>5664560.4055242743</v>
      </c>
      <c r="J879" s="727">
        <f t="shared" si="82"/>
        <v>0</v>
      </c>
      <c r="K879" s="727"/>
      <c r="L879" s="732">
        <v>5898632</v>
      </c>
      <c r="M879" s="727">
        <f t="shared" si="83"/>
        <v>-234071.59447572567</v>
      </c>
      <c r="N879" s="732">
        <v>5898632</v>
      </c>
      <c r="O879" s="727">
        <f t="shared" si="84"/>
        <v>-234071.59447572567</v>
      </c>
      <c r="P879" s="727">
        <f t="shared" si="85"/>
        <v>0</v>
      </c>
      <c r="Q879" s="675"/>
    </row>
    <row r="880" spans="1:17">
      <c r="B880" s="332"/>
      <c r="C880" s="723">
        <f>IF(D870="","-",+C879+1)</f>
        <v>2020</v>
      </c>
      <c r="D880" s="1270">
        <f t="shared" si="86"/>
        <v>45071059.424456522</v>
      </c>
      <c r="E880" s="730">
        <f t="shared" si="87"/>
        <v>1060495.5158695651</v>
      </c>
      <c r="F880" s="730">
        <f t="shared" si="80"/>
        <v>44010563.908586957</v>
      </c>
      <c r="G880" s="674">
        <f t="shared" si="81"/>
        <v>44540811.666521743</v>
      </c>
      <c r="H880" s="724">
        <f>+J871*G880+E880</f>
        <v>5557489.1290206779</v>
      </c>
      <c r="I880" s="731">
        <f>+J872*G880+E880</f>
        <v>5557489.1290206779</v>
      </c>
      <c r="J880" s="727">
        <f t="shared" si="82"/>
        <v>0</v>
      </c>
      <c r="K880" s="727"/>
      <c r="L880" s="732">
        <v>5887656.2604113696</v>
      </c>
      <c r="M880" s="727">
        <f t="shared" si="83"/>
        <v>-330167.13139069173</v>
      </c>
      <c r="N880" s="732">
        <v>5887656.2604113696</v>
      </c>
      <c r="O880" s="727">
        <f t="shared" si="84"/>
        <v>-330167.13139069173</v>
      </c>
      <c r="P880" s="727">
        <f t="shared" si="85"/>
        <v>0</v>
      </c>
      <c r="Q880" s="675"/>
    </row>
    <row r="881" spans="2:17">
      <c r="B881" s="332"/>
      <c r="C881" s="723">
        <f>IF(D870="","-",+C880+1)</f>
        <v>2021</v>
      </c>
      <c r="D881" s="674">
        <f t="shared" si="86"/>
        <v>44010563.908586957</v>
      </c>
      <c r="E881" s="730">
        <f t="shared" si="87"/>
        <v>1060495.5158695651</v>
      </c>
      <c r="F881" s="730">
        <f t="shared" si="80"/>
        <v>42950068.392717391</v>
      </c>
      <c r="G881" s="674">
        <f t="shared" si="81"/>
        <v>43480316.15065217</v>
      </c>
      <c r="H881" s="724">
        <f>+J871*G881+E881</f>
        <v>5450417.8525170786</v>
      </c>
      <c r="I881" s="731">
        <f>+J872*G881+E881</f>
        <v>5450417.8525170786</v>
      </c>
      <c r="J881" s="727">
        <f t="shared" si="82"/>
        <v>0</v>
      </c>
      <c r="K881" s="727"/>
      <c r="L881" s="732">
        <v>0</v>
      </c>
      <c r="M881" s="727">
        <f t="shared" si="83"/>
        <v>0</v>
      </c>
      <c r="N881" s="732">
        <v>0</v>
      </c>
      <c r="O881" s="727">
        <f t="shared" si="84"/>
        <v>0</v>
      </c>
      <c r="P881" s="727">
        <f t="shared" si="85"/>
        <v>0</v>
      </c>
      <c r="Q881" s="675"/>
    </row>
    <row r="882" spans="2:17">
      <c r="B882" s="332"/>
      <c r="C882" s="723">
        <f>IF(D870="","-",+C881+1)</f>
        <v>2022</v>
      </c>
      <c r="D882" s="674">
        <f t="shared" si="86"/>
        <v>42950068.392717391</v>
      </c>
      <c r="E882" s="730">
        <f t="shared" si="87"/>
        <v>1060495.5158695651</v>
      </c>
      <c r="F882" s="730">
        <f t="shared" si="80"/>
        <v>41889572.876847826</v>
      </c>
      <c r="G882" s="674">
        <f t="shared" si="81"/>
        <v>42419820.634782612</v>
      </c>
      <c r="H882" s="724">
        <f>+J871*G882+E882</f>
        <v>5343346.5760134822</v>
      </c>
      <c r="I882" s="731">
        <f>+J872*G882+E882</f>
        <v>5343346.5760134822</v>
      </c>
      <c r="J882" s="727">
        <f t="shared" si="82"/>
        <v>0</v>
      </c>
      <c r="K882" s="727"/>
      <c r="L882" s="732">
        <v>0</v>
      </c>
      <c r="M882" s="727">
        <f t="shared" si="83"/>
        <v>0</v>
      </c>
      <c r="N882" s="732">
        <v>0</v>
      </c>
      <c r="O882" s="727">
        <f t="shared" si="84"/>
        <v>0</v>
      </c>
      <c r="P882" s="727">
        <f t="shared" si="85"/>
        <v>0</v>
      </c>
      <c r="Q882" s="675"/>
    </row>
    <row r="883" spans="2:17">
      <c r="B883" s="332"/>
      <c r="C883" s="723">
        <f>IF(D870="","-",+C882+1)</f>
        <v>2023</v>
      </c>
      <c r="D883" s="674">
        <f t="shared" si="86"/>
        <v>41889572.876847826</v>
      </c>
      <c r="E883" s="730">
        <f t="shared" si="87"/>
        <v>1060495.5158695651</v>
      </c>
      <c r="F883" s="730">
        <f t="shared" si="80"/>
        <v>40829077.360978261</v>
      </c>
      <c r="G883" s="674">
        <f t="shared" si="81"/>
        <v>41359325.11891304</v>
      </c>
      <c r="H883" s="724">
        <f>+J871*G883+E883</f>
        <v>5236275.2995098829</v>
      </c>
      <c r="I883" s="731">
        <f>+J872*G883+E883</f>
        <v>5236275.2995098829</v>
      </c>
      <c r="J883" s="727">
        <f t="shared" si="82"/>
        <v>0</v>
      </c>
      <c r="K883" s="727"/>
      <c r="L883" s="732">
        <v>0</v>
      </c>
      <c r="M883" s="727">
        <f t="shared" si="83"/>
        <v>0</v>
      </c>
      <c r="N883" s="732">
        <v>0</v>
      </c>
      <c r="O883" s="727">
        <f t="shared" si="84"/>
        <v>0</v>
      </c>
      <c r="P883" s="727">
        <f t="shared" si="85"/>
        <v>0</v>
      </c>
      <c r="Q883" s="675"/>
    </row>
    <row r="884" spans="2:17">
      <c r="B884" s="332"/>
      <c r="C884" s="723">
        <f>IF(D870="","-",+C883+1)</f>
        <v>2024</v>
      </c>
      <c r="D884" s="674">
        <f t="shared" si="86"/>
        <v>40829077.360978261</v>
      </c>
      <c r="E884" s="730">
        <f t="shared" si="87"/>
        <v>1060495.5158695651</v>
      </c>
      <c r="F884" s="730">
        <f t="shared" si="80"/>
        <v>39768581.845108695</v>
      </c>
      <c r="G884" s="674">
        <f t="shared" si="81"/>
        <v>40298829.603043482</v>
      </c>
      <c r="H884" s="724">
        <f>+J871*G884+E884</f>
        <v>5129204.0230062855</v>
      </c>
      <c r="I884" s="731">
        <f>+J872*G884+E884</f>
        <v>5129204.0230062855</v>
      </c>
      <c r="J884" s="727">
        <f t="shared" si="82"/>
        <v>0</v>
      </c>
      <c r="K884" s="727"/>
      <c r="L884" s="732">
        <v>0</v>
      </c>
      <c r="M884" s="727">
        <f t="shared" si="83"/>
        <v>0</v>
      </c>
      <c r="N884" s="732">
        <v>0</v>
      </c>
      <c r="O884" s="727">
        <f t="shared" si="84"/>
        <v>0</v>
      </c>
      <c r="P884" s="727">
        <f t="shared" si="85"/>
        <v>0</v>
      </c>
      <c r="Q884" s="675"/>
    </row>
    <row r="885" spans="2:17">
      <c r="B885" s="332"/>
      <c r="C885" s="723">
        <f>IF(D870="","-",+C884+1)</f>
        <v>2025</v>
      </c>
      <c r="D885" s="674">
        <f t="shared" si="86"/>
        <v>39768581.845108695</v>
      </c>
      <c r="E885" s="730">
        <f t="shared" si="87"/>
        <v>1060495.5158695651</v>
      </c>
      <c r="F885" s="730">
        <f t="shared" si="80"/>
        <v>38708086.32923913</v>
      </c>
      <c r="G885" s="674">
        <f t="shared" si="81"/>
        <v>39238334.087173909</v>
      </c>
      <c r="H885" s="724">
        <f>+J871*G885+E885</f>
        <v>5022132.7465026872</v>
      </c>
      <c r="I885" s="731">
        <f>+J872*G885+E885</f>
        <v>5022132.7465026872</v>
      </c>
      <c r="J885" s="727">
        <f t="shared" si="82"/>
        <v>0</v>
      </c>
      <c r="K885" s="727"/>
      <c r="L885" s="732">
        <v>0</v>
      </c>
      <c r="M885" s="727">
        <f t="shared" si="83"/>
        <v>0</v>
      </c>
      <c r="N885" s="732">
        <v>0</v>
      </c>
      <c r="O885" s="727">
        <f t="shared" si="84"/>
        <v>0</v>
      </c>
      <c r="P885" s="727">
        <f t="shared" si="85"/>
        <v>0</v>
      </c>
      <c r="Q885" s="675"/>
    </row>
    <row r="886" spans="2:17">
      <c r="B886" s="332"/>
      <c r="C886" s="723">
        <f>IF(D870="","-",+C885+1)</f>
        <v>2026</v>
      </c>
      <c r="D886" s="674">
        <f t="shared" si="86"/>
        <v>38708086.32923913</v>
      </c>
      <c r="E886" s="730">
        <f t="shared" si="87"/>
        <v>1060495.5158695651</v>
      </c>
      <c r="F886" s="730">
        <f t="shared" si="80"/>
        <v>37647590.813369565</v>
      </c>
      <c r="G886" s="674">
        <f t="shared" si="81"/>
        <v>38177838.571304351</v>
      </c>
      <c r="H886" s="724">
        <f>+J871*G886+E886</f>
        <v>4915061.4699990898</v>
      </c>
      <c r="I886" s="731">
        <f>+J872*G886+E886</f>
        <v>4915061.4699990898</v>
      </c>
      <c r="J886" s="727">
        <f t="shared" si="82"/>
        <v>0</v>
      </c>
      <c r="K886" s="727"/>
      <c r="L886" s="732">
        <v>0</v>
      </c>
      <c r="M886" s="727">
        <f t="shared" si="83"/>
        <v>0</v>
      </c>
      <c r="N886" s="732">
        <v>0</v>
      </c>
      <c r="O886" s="727">
        <f t="shared" si="84"/>
        <v>0</v>
      </c>
      <c r="P886" s="727">
        <f t="shared" si="85"/>
        <v>0</v>
      </c>
      <c r="Q886" s="675"/>
    </row>
    <row r="887" spans="2:17">
      <c r="B887" s="332"/>
      <c r="C887" s="723">
        <f>IF(D870="","-",+C886+1)</f>
        <v>2027</v>
      </c>
      <c r="D887" s="674">
        <f t="shared" si="86"/>
        <v>37647590.813369565</v>
      </c>
      <c r="E887" s="730">
        <f t="shared" si="87"/>
        <v>1060495.5158695651</v>
      </c>
      <c r="F887" s="730">
        <f t="shared" si="80"/>
        <v>36587095.297499999</v>
      </c>
      <c r="G887" s="674">
        <f t="shared" si="81"/>
        <v>37117343.055434778</v>
      </c>
      <c r="H887" s="724">
        <f>+J871*G887+E887</f>
        <v>4807990.1934954915</v>
      </c>
      <c r="I887" s="731">
        <f>+J872*G887+E887</f>
        <v>4807990.1934954915</v>
      </c>
      <c r="J887" s="727">
        <f t="shared" si="82"/>
        <v>0</v>
      </c>
      <c r="K887" s="727"/>
      <c r="L887" s="732"/>
      <c r="M887" s="727">
        <f t="shared" si="83"/>
        <v>0</v>
      </c>
      <c r="N887" s="732"/>
      <c r="O887" s="727">
        <f t="shared" si="84"/>
        <v>0</v>
      </c>
      <c r="P887" s="727">
        <f t="shared" si="85"/>
        <v>0</v>
      </c>
      <c r="Q887" s="675"/>
    </row>
    <row r="888" spans="2:17">
      <c r="B888" s="332"/>
      <c r="C888" s="723">
        <f>IF(D870="","-",+C887+1)</f>
        <v>2028</v>
      </c>
      <c r="D888" s="674">
        <f t="shared" si="86"/>
        <v>36587095.297499999</v>
      </c>
      <c r="E888" s="730">
        <f t="shared" si="87"/>
        <v>1060495.5158695651</v>
      </c>
      <c r="F888" s="730">
        <f t="shared" si="80"/>
        <v>35526599.781630434</v>
      </c>
      <c r="G888" s="674">
        <f t="shared" si="81"/>
        <v>36056847.53956522</v>
      </c>
      <c r="H888" s="724">
        <f>+J871*G888+E888</f>
        <v>4700918.9169918941</v>
      </c>
      <c r="I888" s="731">
        <f>+J872*G888+E888</f>
        <v>4700918.9169918941</v>
      </c>
      <c r="J888" s="727">
        <f t="shared" si="82"/>
        <v>0</v>
      </c>
      <c r="K888" s="727"/>
      <c r="L888" s="732"/>
      <c r="M888" s="727">
        <f t="shared" si="83"/>
        <v>0</v>
      </c>
      <c r="N888" s="732"/>
      <c r="O888" s="727">
        <f t="shared" si="84"/>
        <v>0</v>
      </c>
      <c r="P888" s="727">
        <f t="shared" si="85"/>
        <v>0</v>
      </c>
      <c r="Q888" s="675"/>
    </row>
    <row r="889" spans="2:17">
      <c r="B889" s="332"/>
      <c r="C889" s="723">
        <f>IF(D870="","-",+C888+1)</f>
        <v>2029</v>
      </c>
      <c r="D889" s="674">
        <f t="shared" si="86"/>
        <v>35526599.781630434</v>
      </c>
      <c r="E889" s="730">
        <f t="shared" si="87"/>
        <v>1060495.5158695651</v>
      </c>
      <c r="F889" s="730">
        <f t="shared" si="80"/>
        <v>34466104.265760869</v>
      </c>
      <c r="G889" s="674">
        <f t="shared" si="81"/>
        <v>34996352.023695648</v>
      </c>
      <c r="H889" s="724">
        <f>+J871*G889+E889</f>
        <v>4593847.6404882958</v>
      </c>
      <c r="I889" s="731">
        <f>+J872*G889+E889</f>
        <v>4593847.6404882958</v>
      </c>
      <c r="J889" s="727">
        <f t="shared" si="82"/>
        <v>0</v>
      </c>
      <c r="K889" s="727"/>
      <c r="L889" s="732"/>
      <c r="M889" s="727">
        <f t="shared" si="83"/>
        <v>0</v>
      </c>
      <c r="N889" s="732"/>
      <c r="O889" s="727">
        <f t="shared" si="84"/>
        <v>0</v>
      </c>
      <c r="P889" s="727">
        <f t="shared" si="85"/>
        <v>0</v>
      </c>
      <c r="Q889" s="675"/>
    </row>
    <row r="890" spans="2:17">
      <c r="B890" s="332"/>
      <c r="C890" s="723">
        <f>IF(D870="","-",+C889+1)</f>
        <v>2030</v>
      </c>
      <c r="D890" s="674">
        <f t="shared" si="86"/>
        <v>34466104.265760869</v>
      </c>
      <c r="E890" s="730">
        <f t="shared" si="87"/>
        <v>1060495.5158695651</v>
      </c>
      <c r="F890" s="730">
        <f t="shared" si="80"/>
        <v>33405608.749891303</v>
      </c>
      <c r="G890" s="674">
        <f t="shared" si="81"/>
        <v>33935856.50782609</v>
      </c>
      <c r="H890" s="724">
        <f>+J871*G890+E890</f>
        <v>4486776.3639846984</v>
      </c>
      <c r="I890" s="731">
        <f>+J872*G890+E890</f>
        <v>4486776.3639846984</v>
      </c>
      <c r="J890" s="727">
        <f t="shared" si="82"/>
        <v>0</v>
      </c>
      <c r="K890" s="727"/>
      <c r="L890" s="732"/>
      <c r="M890" s="727">
        <f t="shared" si="83"/>
        <v>0</v>
      </c>
      <c r="N890" s="732"/>
      <c r="O890" s="727">
        <f t="shared" si="84"/>
        <v>0</v>
      </c>
      <c r="P890" s="727">
        <f t="shared" si="85"/>
        <v>0</v>
      </c>
      <c r="Q890" s="675"/>
    </row>
    <row r="891" spans="2:17">
      <c r="B891" s="332"/>
      <c r="C891" s="723">
        <f>IF(D870="","-",+C890+1)</f>
        <v>2031</v>
      </c>
      <c r="D891" s="674">
        <f t="shared" si="86"/>
        <v>33405608.749891303</v>
      </c>
      <c r="E891" s="730">
        <f t="shared" si="87"/>
        <v>1060495.5158695651</v>
      </c>
      <c r="F891" s="730">
        <f t="shared" si="80"/>
        <v>32345113.234021738</v>
      </c>
      <c r="G891" s="674">
        <f t="shared" si="81"/>
        <v>32875360.991956521</v>
      </c>
      <c r="H891" s="724">
        <f>+J871*G891+E891</f>
        <v>4379705.0874811001</v>
      </c>
      <c r="I891" s="731">
        <f>+J872*G891+E891</f>
        <v>4379705.0874811001</v>
      </c>
      <c r="J891" s="727">
        <f t="shared" si="82"/>
        <v>0</v>
      </c>
      <c r="K891" s="727"/>
      <c r="L891" s="732"/>
      <c r="M891" s="727">
        <f t="shared" si="83"/>
        <v>0</v>
      </c>
      <c r="N891" s="732"/>
      <c r="O891" s="727">
        <f t="shared" si="84"/>
        <v>0</v>
      </c>
      <c r="P891" s="727">
        <f t="shared" si="85"/>
        <v>0</v>
      </c>
      <c r="Q891" s="675"/>
    </row>
    <row r="892" spans="2:17">
      <c r="B892" s="332"/>
      <c r="C892" s="723">
        <f>IF(D870="","-",+C891+1)</f>
        <v>2032</v>
      </c>
      <c r="D892" s="674">
        <f t="shared" si="86"/>
        <v>32345113.234021738</v>
      </c>
      <c r="E892" s="730">
        <f t="shared" si="87"/>
        <v>1060495.5158695651</v>
      </c>
      <c r="F892" s="730">
        <f t="shared" si="80"/>
        <v>31284617.718152173</v>
      </c>
      <c r="G892" s="674">
        <f t="shared" si="81"/>
        <v>31814865.476086956</v>
      </c>
      <c r="H892" s="724">
        <f>+J871*G892+E892</f>
        <v>4272633.8109775018</v>
      </c>
      <c r="I892" s="731">
        <f>+J872*G892+E892</f>
        <v>4272633.8109775018</v>
      </c>
      <c r="J892" s="727">
        <f t="shared" si="82"/>
        <v>0</v>
      </c>
      <c r="K892" s="727"/>
      <c r="L892" s="732"/>
      <c r="M892" s="727">
        <f t="shared" si="83"/>
        <v>0</v>
      </c>
      <c r="N892" s="732"/>
      <c r="O892" s="727">
        <f t="shared" si="84"/>
        <v>0</v>
      </c>
      <c r="P892" s="727">
        <f t="shared" si="85"/>
        <v>0</v>
      </c>
      <c r="Q892" s="675"/>
    </row>
    <row r="893" spans="2:17">
      <c r="B893" s="332"/>
      <c r="C893" s="723">
        <f>IF(D870="","-",+C892+1)</f>
        <v>2033</v>
      </c>
      <c r="D893" s="674">
        <f t="shared" si="86"/>
        <v>31284617.718152173</v>
      </c>
      <c r="E893" s="730">
        <f t="shared" si="87"/>
        <v>1060495.5158695651</v>
      </c>
      <c r="F893" s="730">
        <f t="shared" si="80"/>
        <v>30224122.202282608</v>
      </c>
      <c r="G893" s="674">
        <f t="shared" si="81"/>
        <v>30754369.96021739</v>
      </c>
      <c r="H893" s="724">
        <f>+J871*G893+E893</f>
        <v>4165562.5344739044</v>
      </c>
      <c r="I893" s="731">
        <f>+J872*G893+E893</f>
        <v>4165562.5344739044</v>
      </c>
      <c r="J893" s="727">
        <f t="shared" si="82"/>
        <v>0</v>
      </c>
      <c r="K893" s="727"/>
      <c r="L893" s="732"/>
      <c r="M893" s="727">
        <f t="shared" si="83"/>
        <v>0</v>
      </c>
      <c r="N893" s="732"/>
      <c r="O893" s="727">
        <f t="shared" si="84"/>
        <v>0</v>
      </c>
      <c r="P893" s="727">
        <f t="shared" si="85"/>
        <v>0</v>
      </c>
      <c r="Q893" s="675"/>
    </row>
    <row r="894" spans="2:17">
      <c r="B894" s="332"/>
      <c r="C894" s="723">
        <f>IF(D870="","-",+C893+1)</f>
        <v>2034</v>
      </c>
      <c r="D894" s="674">
        <f t="shared" si="86"/>
        <v>30224122.202282608</v>
      </c>
      <c r="E894" s="730">
        <f t="shared" si="87"/>
        <v>1060495.5158695651</v>
      </c>
      <c r="F894" s="730">
        <f t="shared" si="80"/>
        <v>29163626.686413042</v>
      </c>
      <c r="G894" s="674">
        <f t="shared" si="81"/>
        <v>29693874.444347825</v>
      </c>
      <c r="H894" s="724">
        <f>+J871*G894+E894</f>
        <v>4058491.2579703061</v>
      </c>
      <c r="I894" s="731">
        <f>+J872*G894+E894</f>
        <v>4058491.2579703061</v>
      </c>
      <c r="J894" s="727">
        <f t="shared" si="82"/>
        <v>0</v>
      </c>
      <c r="K894" s="727"/>
      <c r="L894" s="732"/>
      <c r="M894" s="727">
        <f t="shared" si="83"/>
        <v>0</v>
      </c>
      <c r="N894" s="732"/>
      <c r="O894" s="727">
        <f t="shared" si="84"/>
        <v>0</v>
      </c>
      <c r="P894" s="727">
        <f t="shared" si="85"/>
        <v>0</v>
      </c>
      <c r="Q894" s="675"/>
    </row>
    <row r="895" spans="2:17">
      <c r="B895" s="332"/>
      <c r="C895" s="723">
        <f>IF(D870="","-",+C894+1)</f>
        <v>2035</v>
      </c>
      <c r="D895" s="674">
        <f t="shared" si="86"/>
        <v>29163626.686413042</v>
      </c>
      <c r="E895" s="730">
        <f t="shared" si="87"/>
        <v>1060495.5158695651</v>
      </c>
      <c r="F895" s="730">
        <f t="shared" si="80"/>
        <v>28103131.170543477</v>
      </c>
      <c r="G895" s="674">
        <f t="shared" si="81"/>
        <v>28633378.92847826</v>
      </c>
      <c r="H895" s="724">
        <f>+J871*G895+E895</f>
        <v>3951419.9814667087</v>
      </c>
      <c r="I895" s="731">
        <f>+J872*G895+E895</f>
        <v>3951419.9814667087</v>
      </c>
      <c r="J895" s="727">
        <f t="shared" si="82"/>
        <v>0</v>
      </c>
      <c r="K895" s="727"/>
      <c r="L895" s="732"/>
      <c r="M895" s="727">
        <f t="shared" si="83"/>
        <v>0</v>
      </c>
      <c r="N895" s="732"/>
      <c r="O895" s="727">
        <f t="shared" si="84"/>
        <v>0</v>
      </c>
      <c r="P895" s="727">
        <f t="shared" si="85"/>
        <v>0</v>
      </c>
      <c r="Q895" s="675"/>
    </row>
    <row r="896" spans="2:17">
      <c r="B896" s="332"/>
      <c r="C896" s="723">
        <f>IF(D870="","-",+C895+1)</f>
        <v>2036</v>
      </c>
      <c r="D896" s="674">
        <f t="shared" si="86"/>
        <v>28103131.170543477</v>
      </c>
      <c r="E896" s="730">
        <f t="shared" si="87"/>
        <v>1060495.5158695651</v>
      </c>
      <c r="F896" s="730">
        <f t="shared" si="80"/>
        <v>27042635.654673912</v>
      </c>
      <c r="G896" s="674">
        <f t="shared" si="81"/>
        <v>27572883.412608694</v>
      </c>
      <c r="H896" s="724">
        <f>+J871*G896+E896</f>
        <v>3844348.7049631104</v>
      </c>
      <c r="I896" s="731">
        <f>+J872*G896+E896</f>
        <v>3844348.7049631104</v>
      </c>
      <c r="J896" s="727">
        <f t="shared" si="82"/>
        <v>0</v>
      </c>
      <c r="K896" s="727"/>
      <c r="L896" s="732"/>
      <c r="M896" s="727">
        <f t="shared" si="83"/>
        <v>0</v>
      </c>
      <c r="N896" s="732"/>
      <c r="O896" s="727">
        <f t="shared" si="84"/>
        <v>0</v>
      </c>
      <c r="P896" s="727">
        <f t="shared" si="85"/>
        <v>0</v>
      </c>
      <c r="Q896" s="675"/>
    </row>
    <row r="897" spans="2:17">
      <c r="B897" s="332"/>
      <c r="C897" s="723">
        <f>IF(D870="","-",+C896+1)</f>
        <v>2037</v>
      </c>
      <c r="D897" s="674">
        <f t="shared" si="86"/>
        <v>27042635.654673912</v>
      </c>
      <c r="E897" s="730">
        <f t="shared" si="87"/>
        <v>1060495.5158695651</v>
      </c>
      <c r="F897" s="730">
        <f t="shared" si="80"/>
        <v>25982140.138804346</v>
      </c>
      <c r="G897" s="674">
        <f t="shared" si="81"/>
        <v>26512387.896739129</v>
      </c>
      <c r="H897" s="724">
        <f>+J871*G897+E897</f>
        <v>3737277.4284595121</v>
      </c>
      <c r="I897" s="731">
        <f>+J872*G897+E897</f>
        <v>3737277.4284595121</v>
      </c>
      <c r="J897" s="727">
        <f t="shared" si="82"/>
        <v>0</v>
      </c>
      <c r="K897" s="727"/>
      <c r="L897" s="732"/>
      <c r="M897" s="727">
        <f t="shared" si="83"/>
        <v>0</v>
      </c>
      <c r="N897" s="732"/>
      <c r="O897" s="727">
        <f t="shared" si="84"/>
        <v>0</v>
      </c>
      <c r="P897" s="727">
        <f t="shared" si="85"/>
        <v>0</v>
      </c>
      <c r="Q897" s="675"/>
    </row>
    <row r="898" spans="2:17">
      <c r="B898" s="332"/>
      <c r="C898" s="723">
        <f>IF(D870="","-",+C897+1)</f>
        <v>2038</v>
      </c>
      <c r="D898" s="674">
        <f t="shared" si="86"/>
        <v>25982140.138804346</v>
      </c>
      <c r="E898" s="730">
        <f t="shared" si="87"/>
        <v>1060495.5158695651</v>
      </c>
      <c r="F898" s="730">
        <f t="shared" si="80"/>
        <v>24921644.622934781</v>
      </c>
      <c r="G898" s="674">
        <f t="shared" si="81"/>
        <v>25451892.380869564</v>
      </c>
      <c r="H898" s="724">
        <f>+J871*G898+E898</f>
        <v>3630206.1519559147</v>
      </c>
      <c r="I898" s="731">
        <f>+J872*G898+E898</f>
        <v>3630206.1519559147</v>
      </c>
      <c r="J898" s="727">
        <f t="shared" si="82"/>
        <v>0</v>
      </c>
      <c r="K898" s="727"/>
      <c r="L898" s="732"/>
      <c r="M898" s="727">
        <f t="shared" si="83"/>
        <v>0</v>
      </c>
      <c r="N898" s="732"/>
      <c r="O898" s="727">
        <f t="shared" si="84"/>
        <v>0</v>
      </c>
      <c r="P898" s="727">
        <f t="shared" si="85"/>
        <v>0</v>
      </c>
      <c r="Q898" s="675"/>
    </row>
    <row r="899" spans="2:17">
      <c r="B899" s="332"/>
      <c r="C899" s="723">
        <f>IF(D870="","-",+C898+1)</f>
        <v>2039</v>
      </c>
      <c r="D899" s="674">
        <f t="shared" si="86"/>
        <v>24921644.622934781</v>
      </c>
      <c r="E899" s="730">
        <f t="shared" si="87"/>
        <v>1060495.5158695651</v>
      </c>
      <c r="F899" s="730">
        <f t="shared" si="80"/>
        <v>23861149.107065216</v>
      </c>
      <c r="G899" s="674">
        <f t="shared" si="81"/>
        <v>24391396.864999998</v>
      </c>
      <c r="H899" s="724">
        <f>+J871*G899+E899</f>
        <v>3523134.8754523164</v>
      </c>
      <c r="I899" s="731">
        <f>+J872*G899+E899</f>
        <v>3523134.8754523164</v>
      </c>
      <c r="J899" s="727">
        <f t="shared" si="82"/>
        <v>0</v>
      </c>
      <c r="K899" s="727"/>
      <c r="L899" s="732"/>
      <c r="M899" s="727">
        <f t="shared" si="83"/>
        <v>0</v>
      </c>
      <c r="N899" s="732"/>
      <c r="O899" s="727">
        <f t="shared" si="84"/>
        <v>0</v>
      </c>
      <c r="P899" s="727">
        <f t="shared" si="85"/>
        <v>0</v>
      </c>
      <c r="Q899" s="675"/>
    </row>
    <row r="900" spans="2:17">
      <c r="B900" s="332"/>
      <c r="C900" s="723">
        <f>IF(D870="","-",+C899+1)</f>
        <v>2040</v>
      </c>
      <c r="D900" s="674">
        <f t="shared" si="86"/>
        <v>23861149.107065216</v>
      </c>
      <c r="E900" s="730">
        <f t="shared" si="87"/>
        <v>1060495.5158695651</v>
      </c>
      <c r="F900" s="730">
        <f t="shared" si="80"/>
        <v>22800653.59119565</v>
      </c>
      <c r="G900" s="674">
        <f t="shared" si="81"/>
        <v>23330901.349130433</v>
      </c>
      <c r="H900" s="724">
        <f>+J871*G900+E900</f>
        <v>3416063.598948719</v>
      </c>
      <c r="I900" s="731">
        <f>+J872*G900+E900</f>
        <v>3416063.598948719</v>
      </c>
      <c r="J900" s="727">
        <f t="shared" si="82"/>
        <v>0</v>
      </c>
      <c r="K900" s="727"/>
      <c r="L900" s="732"/>
      <c r="M900" s="727">
        <f t="shared" si="83"/>
        <v>0</v>
      </c>
      <c r="N900" s="732"/>
      <c r="O900" s="727">
        <f t="shared" si="84"/>
        <v>0</v>
      </c>
      <c r="P900" s="727">
        <f t="shared" si="85"/>
        <v>0</v>
      </c>
      <c r="Q900" s="675"/>
    </row>
    <row r="901" spans="2:17">
      <c r="B901" s="332"/>
      <c r="C901" s="723">
        <f>IF(D870="","-",+C900+1)</f>
        <v>2041</v>
      </c>
      <c r="D901" s="674">
        <f t="shared" si="86"/>
        <v>22800653.59119565</v>
      </c>
      <c r="E901" s="730">
        <f t="shared" si="87"/>
        <v>1060495.5158695651</v>
      </c>
      <c r="F901" s="730">
        <f t="shared" si="80"/>
        <v>21740158.075326085</v>
      </c>
      <c r="G901" s="674">
        <f t="shared" si="81"/>
        <v>22270405.833260868</v>
      </c>
      <c r="H901" s="724">
        <f>+J871*G901+E901</f>
        <v>3308992.3224451207</v>
      </c>
      <c r="I901" s="731">
        <f>+J872*G901+E901</f>
        <v>3308992.3224451207</v>
      </c>
      <c r="J901" s="727">
        <f t="shared" si="82"/>
        <v>0</v>
      </c>
      <c r="K901" s="727"/>
      <c r="L901" s="732"/>
      <c r="M901" s="727">
        <f t="shared" si="83"/>
        <v>0</v>
      </c>
      <c r="N901" s="732"/>
      <c r="O901" s="727">
        <f t="shared" si="84"/>
        <v>0</v>
      </c>
      <c r="P901" s="727">
        <f t="shared" si="85"/>
        <v>0</v>
      </c>
      <c r="Q901" s="675"/>
    </row>
    <row r="902" spans="2:17">
      <c r="B902" s="332"/>
      <c r="C902" s="723">
        <f>IF(D870="","-",+C901+1)</f>
        <v>2042</v>
      </c>
      <c r="D902" s="674">
        <f t="shared" si="86"/>
        <v>21740158.075326085</v>
      </c>
      <c r="E902" s="730">
        <f t="shared" si="87"/>
        <v>1060495.5158695651</v>
      </c>
      <c r="F902" s="730">
        <f t="shared" si="80"/>
        <v>20679662.55945652</v>
      </c>
      <c r="G902" s="674">
        <f t="shared" si="81"/>
        <v>21209910.317391302</v>
      </c>
      <c r="H902" s="724">
        <f>+J871*G902+E902</f>
        <v>3201921.0459415233</v>
      </c>
      <c r="I902" s="731">
        <f>+J872*G902+E902</f>
        <v>3201921.0459415233</v>
      </c>
      <c r="J902" s="727">
        <f t="shared" si="82"/>
        <v>0</v>
      </c>
      <c r="K902" s="727"/>
      <c r="L902" s="732"/>
      <c r="M902" s="727">
        <f t="shared" si="83"/>
        <v>0</v>
      </c>
      <c r="N902" s="732"/>
      <c r="O902" s="727">
        <f t="shared" si="84"/>
        <v>0</v>
      </c>
      <c r="P902" s="727">
        <f t="shared" si="85"/>
        <v>0</v>
      </c>
      <c r="Q902" s="675"/>
    </row>
    <row r="903" spans="2:17">
      <c r="B903" s="332"/>
      <c r="C903" s="723">
        <f>IF(D870="","-",+C902+1)</f>
        <v>2043</v>
      </c>
      <c r="D903" s="674">
        <f t="shared" si="86"/>
        <v>20679662.55945652</v>
      </c>
      <c r="E903" s="730">
        <f t="shared" si="87"/>
        <v>1060495.5158695651</v>
      </c>
      <c r="F903" s="730">
        <f t="shared" si="80"/>
        <v>19619167.043586954</v>
      </c>
      <c r="G903" s="674">
        <f t="shared" si="81"/>
        <v>20149414.801521737</v>
      </c>
      <c r="H903" s="724">
        <f>+J871*G903+E903</f>
        <v>3094849.769437925</v>
      </c>
      <c r="I903" s="731">
        <f>+J872*G903+E903</f>
        <v>3094849.769437925</v>
      </c>
      <c r="J903" s="727">
        <f t="shared" si="82"/>
        <v>0</v>
      </c>
      <c r="K903" s="727"/>
      <c r="L903" s="732"/>
      <c r="M903" s="727">
        <f t="shared" si="83"/>
        <v>0</v>
      </c>
      <c r="N903" s="732"/>
      <c r="O903" s="727">
        <f t="shared" si="84"/>
        <v>0</v>
      </c>
      <c r="P903" s="727">
        <f t="shared" si="85"/>
        <v>0</v>
      </c>
      <c r="Q903" s="675"/>
    </row>
    <row r="904" spans="2:17">
      <c r="B904" s="332"/>
      <c r="C904" s="723">
        <f>IF(D870="","-",+C903+1)</f>
        <v>2044</v>
      </c>
      <c r="D904" s="674">
        <f t="shared" si="86"/>
        <v>19619167.043586954</v>
      </c>
      <c r="E904" s="730">
        <f t="shared" si="87"/>
        <v>1060495.5158695651</v>
      </c>
      <c r="F904" s="730">
        <f t="shared" si="80"/>
        <v>18558671.527717389</v>
      </c>
      <c r="G904" s="674">
        <f t="shared" si="81"/>
        <v>19088919.285652172</v>
      </c>
      <c r="H904" s="724">
        <f>+J871*G904+E904</f>
        <v>2987778.4929343271</v>
      </c>
      <c r="I904" s="731">
        <f>+J872*G904+E904</f>
        <v>2987778.4929343271</v>
      </c>
      <c r="J904" s="727">
        <f t="shared" si="82"/>
        <v>0</v>
      </c>
      <c r="K904" s="727"/>
      <c r="L904" s="732"/>
      <c r="M904" s="727">
        <f t="shared" si="83"/>
        <v>0</v>
      </c>
      <c r="N904" s="732"/>
      <c r="O904" s="727">
        <f t="shared" si="84"/>
        <v>0</v>
      </c>
      <c r="P904" s="727">
        <f t="shared" si="85"/>
        <v>0</v>
      </c>
      <c r="Q904" s="675"/>
    </row>
    <row r="905" spans="2:17">
      <c r="B905" s="332"/>
      <c r="C905" s="723">
        <f>IF(D870="","-",+C904+1)</f>
        <v>2045</v>
      </c>
      <c r="D905" s="674">
        <f t="shared" si="86"/>
        <v>18558671.527717389</v>
      </c>
      <c r="E905" s="730">
        <f t="shared" si="87"/>
        <v>1060495.5158695651</v>
      </c>
      <c r="F905" s="730">
        <f t="shared" si="80"/>
        <v>17498176.011847824</v>
      </c>
      <c r="G905" s="674">
        <f t="shared" si="81"/>
        <v>18028423.769782607</v>
      </c>
      <c r="H905" s="724">
        <f>+J871*G905+E905</f>
        <v>2880707.2164307293</v>
      </c>
      <c r="I905" s="731">
        <f>+J872*G905+E905</f>
        <v>2880707.2164307293</v>
      </c>
      <c r="J905" s="727">
        <f t="shared" si="82"/>
        <v>0</v>
      </c>
      <c r="K905" s="727"/>
      <c r="L905" s="732"/>
      <c r="M905" s="727">
        <f t="shared" si="83"/>
        <v>0</v>
      </c>
      <c r="N905" s="732"/>
      <c r="O905" s="727">
        <f t="shared" si="84"/>
        <v>0</v>
      </c>
      <c r="P905" s="727">
        <f t="shared" si="85"/>
        <v>0</v>
      </c>
      <c r="Q905" s="675"/>
    </row>
    <row r="906" spans="2:17">
      <c r="B906" s="332"/>
      <c r="C906" s="723">
        <f>IF(D870="","-",+C905+1)</f>
        <v>2046</v>
      </c>
      <c r="D906" s="674">
        <f t="shared" si="86"/>
        <v>17498176.011847824</v>
      </c>
      <c r="E906" s="730">
        <f t="shared" si="87"/>
        <v>1060495.5158695651</v>
      </c>
      <c r="F906" s="730">
        <f t="shared" si="80"/>
        <v>16437680.495978259</v>
      </c>
      <c r="G906" s="674">
        <f t="shared" si="81"/>
        <v>16967928.253913041</v>
      </c>
      <c r="H906" s="724">
        <f>+J871*G906+E906</f>
        <v>2773635.9399271309</v>
      </c>
      <c r="I906" s="731">
        <f>+J872*G906+E906</f>
        <v>2773635.9399271309</v>
      </c>
      <c r="J906" s="727">
        <f t="shared" si="82"/>
        <v>0</v>
      </c>
      <c r="K906" s="727"/>
      <c r="L906" s="732"/>
      <c r="M906" s="727">
        <f t="shared" si="83"/>
        <v>0</v>
      </c>
      <c r="N906" s="732"/>
      <c r="O906" s="727">
        <f t="shared" si="84"/>
        <v>0</v>
      </c>
      <c r="P906" s="727">
        <f t="shared" si="85"/>
        <v>0</v>
      </c>
      <c r="Q906" s="675"/>
    </row>
    <row r="907" spans="2:17">
      <c r="B907" s="332"/>
      <c r="C907" s="723">
        <f>IF(D870="","-",+C906+1)</f>
        <v>2047</v>
      </c>
      <c r="D907" s="674">
        <f t="shared" si="86"/>
        <v>16437680.495978259</v>
      </c>
      <c r="E907" s="730">
        <f t="shared" si="87"/>
        <v>1060495.5158695651</v>
      </c>
      <c r="F907" s="730">
        <f t="shared" si="80"/>
        <v>15377184.980108693</v>
      </c>
      <c r="G907" s="674">
        <f t="shared" si="81"/>
        <v>15907432.738043476</v>
      </c>
      <c r="H907" s="724">
        <f>+J871*G907+E907</f>
        <v>2666564.6634235336</v>
      </c>
      <c r="I907" s="731">
        <f>+J872*G907+E907</f>
        <v>2666564.6634235336</v>
      </c>
      <c r="J907" s="727">
        <f t="shared" si="82"/>
        <v>0</v>
      </c>
      <c r="K907" s="727"/>
      <c r="L907" s="732"/>
      <c r="M907" s="727">
        <f t="shared" si="83"/>
        <v>0</v>
      </c>
      <c r="N907" s="732"/>
      <c r="O907" s="727">
        <f t="shared" si="84"/>
        <v>0</v>
      </c>
      <c r="P907" s="727">
        <f t="shared" si="85"/>
        <v>0</v>
      </c>
      <c r="Q907" s="675"/>
    </row>
    <row r="908" spans="2:17">
      <c r="B908" s="332"/>
      <c r="C908" s="723">
        <f>IF(D870="","-",+C907+1)</f>
        <v>2048</v>
      </c>
      <c r="D908" s="674">
        <f t="shared" si="86"/>
        <v>15377184.980108693</v>
      </c>
      <c r="E908" s="730">
        <f t="shared" si="87"/>
        <v>1060495.5158695651</v>
      </c>
      <c r="F908" s="730">
        <f t="shared" si="80"/>
        <v>14316689.464239128</v>
      </c>
      <c r="G908" s="674">
        <f t="shared" si="81"/>
        <v>14846937.222173911</v>
      </c>
      <c r="H908" s="724">
        <f>+J871*G908+E908</f>
        <v>2559493.3869199352</v>
      </c>
      <c r="I908" s="731">
        <f>+J872*G908+E908</f>
        <v>2559493.3869199352</v>
      </c>
      <c r="J908" s="727">
        <f t="shared" si="82"/>
        <v>0</v>
      </c>
      <c r="K908" s="727"/>
      <c r="L908" s="732"/>
      <c r="M908" s="727">
        <f t="shared" si="83"/>
        <v>0</v>
      </c>
      <c r="N908" s="732"/>
      <c r="O908" s="727">
        <f t="shared" si="84"/>
        <v>0</v>
      </c>
      <c r="P908" s="727">
        <f t="shared" si="85"/>
        <v>0</v>
      </c>
      <c r="Q908" s="675"/>
    </row>
    <row r="909" spans="2:17">
      <c r="B909" s="332"/>
      <c r="C909" s="723">
        <f>IF(D870="","-",+C908+1)</f>
        <v>2049</v>
      </c>
      <c r="D909" s="674">
        <f t="shared" si="86"/>
        <v>14316689.464239128</v>
      </c>
      <c r="E909" s="730">
        <f t="shared" si="87"/>
        <v>1060495.5158695651</v>
      </c>
      <c r="F909" s="730">
        <f t="shared" si="80"/>
        <v>13256193.948369563</v>
      </c>
      <c r="G909" s="674">
        <f t="shared" si="81"/>
        <v>13786441.706304345</v>
      </c>
      <c r="H909" s="724">
        <f>+J871*G909+E909</f>
        <v>2452422.1104163378</v>
      </c>
      <c r="I909" s="731">
        <f>+J872*G909+E909</f>
        <v>2452422.1104163378</v>
      </c>
      <c r="J909" s="727">
        <f t="shared" si="82"/>
        <v>0</v>
      </c>
      <c r="K909" s="727"/>
      <c r="L909" s="732"/>
      <c r="M909" s="727">
        <f t="shared" si="83"/>
        <v>0</v>
      </c>
      <c r="N909" s="732"/>
      <c r="O909" s="727">
        <f t="shared" si="84"/>
        <v>0</v>
      </c>
      <c r="P909" s="727">
        <f t="shared" si="85"/>
        <v>0</v>
      </c>
      <c r="Q909" s="675"/>
    </row>
    <row r="910" spans="2:17">
      <c r="B910" s="332"/>
      <c r="C910" s="723">
        <f>IF(D870="","-",+C909+1)</f>
        <v>2050</v>
      </c>
      <c r="D910" s="674">
        <f t="shared" si="86"/>
        <v>13256193.948369563</v>
      </c>
      <c r="E910" s="730">
        <f t="shared" si="87"/>
        <v>1060495.5158695651</v>
      </c>
      <c r="F910" s="730">
        <f t="shared" si="80"/>
        <v>12195698.432499997</v>
      </c>
      <c r="G910" s="674">
        <f t="shared" si="81"/>
        <v>12725946.19043478</v>
      </c>
      <c r="H910" s="724">
        <f>+J871*G910+E910</f>
        <v>2345350.8339127395</v>
      </c>
      <c r="I910" s="731">
        <f>+J872*G910+E910</f>
        <v>2345350.8339127395</v>
      </c>
      <c r="J910" s="727">
        <f t="shared" si="82"/>
        <v>0</v>
      </c>
      <c r="K910" s="727"/>
      <c r="L910" s="732"/>
      <c r="M910" s="727">
        <f t="shared" si="83"/>
        <v>0</v>
      </c>
      <c r="N910" s="732"/>
      <c r="O910" s="727">
        <f t="shared" si="84"/>
        <v>0</v>
      </c>
      <c r="P910" s="727">
        <f t="shared" si="85"/>
        <v>0</v>
      </c>
      <c r="Q910" s="675"/>
    </row>
    <row r="911" spans="2:17">
      <c r="B911" s="332"/>
      <c r="C911" s="723">
        <f>IF(D870="","-",+C910+1)</f>
        <v>2051</v>
      </c>
      <c r="D911" s="674">
        <f t="shared" si="86"/>
        <v>12195698.432499997</v>
      </c>
      <c r="E911" s="730">
        <f t="shared" si="87"/>
        <v>1060495.5158695651</v>
      </c>
      <c r="F911" s="730">
        <f t="shared" si="80"/>
        <v>11135202.916630432</v>
      </c>
      <c r="G911" s="674">
        <f t="shared" si="81"/>
        <v>11665450.674565215</v>
      </c>
      <c r="H911" s="724">
        <f>+J871*G911+E911</f>
        <v>2238279.5574091417</v>
      </c>
      <c r="I911" s="731">
        <f>+J872*G911+E911</f>
        <v>2238279.5574091417</v>
      </c>
      <c r="J911" s="727">
        <f t="shared" si="82"/>
        <v>0</v>
      </c>
      <c r="K911" s="727"/>
      <c r="L911" s="732"/>
      <c r="M911" s="727">
        <f t="shared" si="83"/>
        <v>0</v>
      </c>
      <c r="N911" s="732"/>
      <c r="O911" s="727">
        <f t="shared" si="84"/>
        <v>0</v>
      </c>
      <c r="P911" s="727">
        <f t="shared" si="85"/>
        <v>0</v>
      </c>
      <c r="Q911" s="675"/>
    </row>
    <row r="912" spans="2:17">
      <c r="B912" s="332"/>
      <c r="C912" s="723">
        <f>IF(D870="","-",+C911+1)</f>
        <v>2052</v>
      </c>
      <c r="D912" s="674">
        <f t="shared" si="86"/>
        <v>11135202.916630432</v>
      </c>
      <c r="E912" s="730">
        <f t="shared" si="87"/>
        <v>1060495.5158695651</v>
      </c>
      <c r="F912" s="730">
        <f t="shared" si="80"/>
        <v>10074707.400760867</v>
      </c>
      <c r="G912" s="674">
        <f t="shared" si="81"/>
        <v>10604955.158695649</v>
      </c>
      <c r="H912" s="724">
        <f>+J871*G912+E912</f>
        <v>2131208.2809055438</v>
      </c>
      <c r="I912" s="731">
        <f>+J872*G912+E912</f>
        <v>2131208.2809055438</v>
      </c>
      <c r="J912" s="727">
        <f t="shared" si="82"/>
        <v>0</v>
      </c>
      <c r="K912" s="727"/>
      <c r="L912" s="732"/>
      <c r="M912" s="727">
        <f t="shared" si="83"/>
        <v>0</v>
      </c>
      <c r="N912" s="732"/>
      <c r="O912" s="727">
        <f t="shared" si="84"/>
        <v>0</v>
      </c>
      <c r="P912" s="727">
        <f t="shared" si="85"/>
        <v>0</v>
      </c>
      <c r="Q912" s="675"/>
    </row>
    <row r="913" spans="2:17">
      <c r="B913" s="332"/>
      <c r="C913" s="723">
        <f>IF(D870="","-",+C912+1)</f>
        <v>2053</v>
      </c>
      <c r="D913" s="674">
        <f t="shared" si="86"/>
        <v>10074707.400760867</v>
      </c>
      <c r="E913" s="730">
        <f t="shared" si="87"/>
        <v>1060495.5158695651</v>
      </c>
      <c r="F913" s="730">
        <f t="shared" si="80"/>
        <v>9014211.8848913014</v>
      </c>
      <c r="G913" s="674">
        <f t="shared" si="81"/>
        <v>9544459.642826084</v>
      </c>
      <c r="H913" s="724">
        <f>+J871*G913+E913</f>
        <v>2024137.004401946</v>
      </c>
      <c r="I913" s="731">
        <f>+J872*G913+E913</f>
        <v>2024137.004401946</v>
      </c>
      <c r="J913" s="727">
        <f t="shared" si="82"/>
        <v>0</v>
      </c>
      <c r="K913" s="727"/>
      <c r="L913" s="732"/>
      <c r="M913" s="727">
        <f t="shared" si="83"/>
        <v>0</v>
      </c>
      <c r="N913" s="732"/>
      <c r="O913" s="727">
        <f t="shared" si="84"/>
        <v>0</v>
      </c>
      <c r="P913" s="727">
        <f t="shared" si="85"/>
        <v>0</v>
      </c>
      <c r="Q913" s="675"/>
    </row>
    <row r="914" spans="2:17">
      <c r="B914" s="332"/>
      <c r="C914" s="723">
        <f>IF(D870="","-",+C913+1)</f>
        <v>2054</v>
      </c>
      <c r="D914" s="674">
        <f t="shared" si="86"/>
        <v>9014211.8848913014</v>
      </c>
      <c r="E914" s="730">
        <f t="shared" si="87"/>
        <v>1060495.5158695651</v>
      </c>
      <c r="F914" s="730">
        <f t="shared" si="80"/>
        <v>7953716.3690217361</v>
      </c>
      <c r="G914" s="674">
        <f t="shared" si="81"/>
        <v>8483964.1269565187</v>
      </c>
      <c r="H914" s="724">
        <f>+J871*G914+E914</f>
        <v>1917065.7278983481</v>
      </c>
      <c r="I914" s="731">
        <f>+J872*G914+E914</f>
        <v>1917065.7278983481</v>
      </c>
      <c r="J914" s="727">
        <f t="shared" si="82"/>
        <v>0</v>
      </c>
      <c r="K914" s="727"/>
      <c r="L914" s="732"/>
      <c r="M914" s="727">
        <f t="shared" si="83"/>
        <v>0</v>
      </c>
      <c r="N914" s="732"/>
      <c r="O914" s="727">
        <f t="shared" si="84"/>
        <v>0</v>
      </c>
      <c r="P914" s="727">
        <f t="shared" si="85"/>
        <v>0</v>
      </c>
      <c r="Q914" s="675"/>
    </row>
    <row r="915" spans="2:17">
      <c r="B915" s="332"/>
      <c r="C915" s="723">
        <f>IF(D870="","-",+C914+1)</f>
        <v>2055</v>
      </c>
      <c r="D915" s="674">
        <f t="shared" si="86"/>
        <v>7953716.3690217361</v>
      </c>
      <c r="E915" s="730">
        <f t="shared" si="87"/>
        <v>1060495.5158695651</v>
      </c>
      <c r="F915" s="730">
        <f t="shared" si="80"/>
        <v>6893220.8531521708</v>
      </c>
      <c r="G915" s="674">
        <f t="shared" si="81"/>
        <v>7423468.6110869534</v>
      </c>
      <c r="H915" s="724">
        <f>+J871*G915+E915</f>
        <v>1809994.45139475</v>
      </c>
      <c r="I915" s="731">
        <f>+J872*G915+E915</f>
        <v>1809994.45139475</v>
      </c>
      <c r="J915" s="727">
        <f t="shared" si="82"/>
        <v>0</v>
      </c>
      <c r="K915" s="727"/>
      <c r="L915" s="732"/>
      <c r="M915" s="727">
        <f t="shared" si="83"/>
        <v>0</v>
      </c>
      <c r="N915" s="732"/>
      <c r="O915" s="727">
        <f t="shared" si="84"/>
        <v>0</v>
      </c>
      <c r="P915" s="727">
        <f t="shared" si="85"/>
        <v>0</v>
      </c>
      <c r="Q915" s="675"/>
    </row>
    <row r="916" spans="2:17">
      <c r="B916" s="332"/>
      <c r="C916" s="723">
        <f>IF(D870="","-",+C915+1)</f>
        <v>2056</v>
      </c>
      <c r="D916" s="674">
        <f t="shared" si="86"/>
        <v>6893220.8531521708</v>
      </c>
      <c r="E916" s="730">
        <f t="shared" si="87"/>
        <v>1060495.5158695651</v>
      </c>
      <c r="F916" s="730">
        <f t="shared" si="80"/>
        <v>5832725.3372826055</v>
      </c>
      <c r="G916" s="674">
        <f t="shared" si="81"/>
        <v>6362973.0952173881</v>
      </c>
      <c r="H916" s="724">
        <f>+J871*G916+E916</f>
        <v>1702923.1748911522</v>
      </c>
      <c r="I916" s="731">
        <f>+J872*G916+E916</f>
        <v>1702923.1748911522</v>
      </c>
      <c r="J916" s="727">
        <f t="shared" si="82"/>
        <v>0</v>
      </c>
      <c r="K916" s="727"/>
      <c r="L916" s="732"/>
      <c r="M916" s="727">
        <f t="shared" si="83"/>
        <v>0</v>
      </c>
      <c r="N916" s="732"/>
      <c r="O916" s="727">
        <f t="shared" si="84"/>
        <v>0</v>
      </c>
      <c r="P916" s="727">
        <f t="shared" si="85"/>
        <v>0</v>
      </c>
      <c r="Q916" s="675"/>
    </row>
    <row r="917" spans="2:17">
      <c r="B917" s="332"/>
      <c r="C917" s="723">
        <f>IF(D870="","-",+C916+1)</f>
        <v>2057</v>
      </c>
      <c r="D917" s="674">
        <f t="shared" si="86"/>
        <v>5832725.3372826055</v>
      </c>
      <c r="E917" s="730">
        <f t="shared" si="87"/>
        <v>1060495.5158695651</v>
      </c>
      <c r="F917" s="730">
        <f t="shared" si="80"/>
        <v>4772229.8214130402</v>
      </c>
      <c r="G917" s="674">
        <f t="shared" si="81"/>
        <v>5302477.5793478228</v>
      </c>
      <c r="H917" s="724">
        <f>+J871*G917+E917</f>
        <v>1595851.8983875541</v>
      </c>
      <c r="I917" s="731">
        <f>+J872*G917+E917</f>
        <v>1595851.8983875541</v>
      </c>
      <c r="J917" s="727">
        <f t="shared" si="82"/>
        <v>0</v>
      </c>
      <c r="K917" s="727"/>
      <c r="L917" s="732"/>
      <c r="M917" s="727">
        <f t="shared" si="83"/>
        <v>0</v>
      </c>
      <c r="N917" s="732"/>
      <c r="O917" s="727">
        <f t="shared" si="84"/>
        <v>0</v>
      </c>
      <c r="P917" s="727">
        <f t="shared" si="85"/>
        <v>0</v>
      </c>
      <c r="Q917" s="675"/>
    </row>
    <row r="918" spans="2:17">
      <c r="B918" s="332"/>
      <c r="C918" s="723">
        <f>IF(D870="","-",+C917+1)</f>
        <v>2058</v>
      </c>
      <c r="D918" s="674">
        <f t="shared" si="86"/>
        <v>4772229.8214130402</v>
      </c>
      <c r="E918" s="730">
        <f t="shared" si="87"/>
        <v>1060495.5158695651</v>
      </c>
      <c r="F918" s="730">
        <f t="shared" si="80"/>
        <v>3711734.3055434749</v>
      </c>
      <c r="G918" s="674">
        <f t="shared" si="81"/>
        <v>4241982.0634782575</v>
      </c>
      <c r="H918" s="724">
        <f>+J871*G918+E918</f>
        <v>1488780.6218839562</v>
      </c>
      <c r="I918" s="731">
        <f>+J872*G918+E918</f>
        <v>1488780.6218839562</v>
      </c>
      <c r="J918" s="727">
        <f t="shared" si="82"/>
        <v>0</v>
      </c>
      <c r="K918" s="727"/>
      <c r="L918" s="732"/>
      <c r="M918" s="727">
        <f t="shared" si="83"/>
        <v>0</v>
      </c>
      <c r="N918" s="732"/>
      <c r="O918" s="727">
        <f t="shared" si="84"/>
        <v>0</v>
      </c>
      <c r="P918" s="727">
        <f t="shared" si="85"/>
        <v>0</v>
      </c>
      <c r="Q918" s="675"/>
    </row>
    <row r="919" spans="2:17">
      <c r="B919" s="332"/>
      <c r="C919" s="723">
        <f>IF(D870="","-",+C918+1)</f>
        <v>2059</v>
      </c>
      <c r="D919" s="674">
        <f t="shared" si="86"/>
        <v>3711734.3055434749</v>
      </c>
      <c r="E919" s="730">
        <f t="shared" si="87"/>
        <v>1060495.5158695651</v>
      </c>
      <c r="F919" s="730">
        <f t="shared" si="80"/>
        <v>2651238.7896739095</v>
      </c>
      <c r="G919" s="674">
        <f t="shared" si="81"/>
        <v>3181486.5476086922</v>
      </c>
      <c r="H919" s="724">
        <f>+J871*G919+E919</f>
        <v>1381709.3453803584</v>
      </c>
      <c r="I919" s="731">
        <f>+J872*G919+E919</f>
        <v>1381709.3453803584</v>
      </c>
      <c r="J919" s="727">
        <f t="shared" si="82"/>
        <v>0</v>
      </c>
      <c r="K919" s="727"/>
      <c r="L919" s="732"/>
      <c r="M919" s="727">
        <f t="shared" si="83"/>
        <v>0</v>
      </c>
      <c r="N919" s="732"/>
      <c r="O919" s="727">
        <f t="shared" si="84"/>
        <v>0</v>
      </c>
      <c r="P919" s="727">
        <f t="shared" si="85"/>
        <v>0</v>
      </c>
      <c r="Q919" s="675"/>
    </row>
    <row r="920" spans="2:17">
      <c r="B920" s="332"/>
      <c r="C920" s="723">
        <f>IF(D870="","-",+C919+1)</f>
        <v>2060</v>
      </c>
      <c r="D920" s="674">
        <f t="shared" si="86"/>
        <v>2651238.7896739095</v>
      </c>
      <c r="E920" s="730">
        <f t="shared" si="87"/>
        <v>1060495.5158695651</v>
      </c>
      <c r="F920" s="730">
        <f t="shared" si="80"/>
        <v>1590743.2738043445</v>
      </c>
      <c r="G920" s="674">
        <f t="shared" si="81"/>
        <v>2120991.0317391269</v>
      </c>
      <c r="H920" s="724">
        <f>+J871*G920+E920</f>
        <v>1274638.0688767605</v>
      </c>
      <c r="I920" s="731">
        <f>+J872*G920+E920</f>
        <v>1274638.0688767605</v>
      </c>
      <c r="J920" s="727">
        <f t="shared" si="82"/>
        <v>0</v>
      </c>
      <c r="K920" s="727"/>
      <c r="L920" s="732"/>
      <c r="M920" s="727">
        <f t="shared" si="83"/>
        <v>0</v>
      </c>
      <c r="N920" s="732"/>
      <c r="O920" s="727">
        <f t="shared" si="84"/>
        <v>0</v>
      </c>
      <c r="P920" s="727">
        <f t="shared" si="85"/>
        <v>0</v>
      </c>
      <c r="Q920" s="675"/>
    </row>
    <row r="921" spans="2:17">
      <c r="B921" s="332"/>
      <c r="C921" s="723">
        <f>IF(D870="","-",+C920+1)</f>
        <v>2061</v>
      </c>
      <c r="D921" s="674">
        <f t="shared" si="86"/>
        <v>1590743.2738043445</v>
      </c>
      <c r="E921" s="730">
        <f t="shared" si="87"/>
        <v>1060495.5158695651</v>
      </c>
      <c r="F921" s="730">
        <f t="shared" si="80"/>
        <v>530247.75793477939</v>
      </c>
      <c r="G921" s="674">
        <f t="shared" si="81"/>
        <v>1060495.515869562</v>
      </c>
      <c r="H921" s="724">
        <f>+J871*G921+E921</f>
        <v>1167566.7923731627</v>
      </c>
      <c r="I921" s="731">
        <f>+J872*G921+E921</f>
        <v>1167566.7923731627</v>
      </c>
      <c r="J921" s="727">
        <f t="shared" si="82"/>
        <v>0</v>
      </c>
      <c r="K921" s="727"/>
      <c r="L921" s="732"/>
      <c r="M921" s="727">
        <f t="shared" si="83"/>
        <v>0</v>
      </c>
      <c r="N921" s="732"/>
      <c r="O921" s="727">
        <f t="shared" si="84"/>
        <v>0</v>
      </c>
      <c r="P921" s="727">
        <f t="shared" si="85"/>
        <v>0</v>
      </c>
      <c r="Q921" s="675"/>
    </row>
    <row r="922" spans="2:17">
      <c r="B922" s="332"/>
      <c r="C922" s="723">
        <f>IF(D870="","-",+C921+1)</f>
        <v>2062</v>
      </c>
      <c r="D922" s="674">
        <f t="shared" si="86"/>
        <v>530247.75793477939</v>
      </c>
      <c r="E922" s="730">
        <f t="shared" si="87"/>
        <v>530247.75793477939</v>
      </c>
      <c r="F922" s="730">
        <f t="shared" si="80"/>
        <v>0</v>
      </c>
      <c r="G922" s="674">
        <f t="shared" si="81"/>
        <v>265123.8789673897</v>
      </c>
      <c r="H922" s="724">
        <f>+J871*G922+E922</f>
        <v>557015.57706067874</v>
      </c>
      <c r="I922" s="731">
        <f>+J872*G922+E922</f>
        <v>557015.57706067874</v>
      </c>
      <c r="J922" s="727">
        <f t="shared" si="82"/>
        <v>0</v>
      </c>
      <c r="K922" s="727"/>
      <c r="L922" s="732"/>
      <c r="M922" s="727">
        <f t="shared" si="83"/>
        <v>0</v>
      </c>
      <c r="N922" s="732"/>
      <c r="O922" s="727">
        <f t="shared" si="84"/>
        <v>0</v>
      </c>
      <c r="P922" s="727">
        <f t="shared" si="85"/>
        <v>0</v>
      </c>
      <c r="Q922" s="675"/>
    </row>
    <row r="923" spans="2:17">
      <c r="B923" s="332"/>
      <c r="C923" s="723">
        <f>IF(D870="","-",+C922+1)</f>
        <v>2063</v>
      </c>
      <c r="D923" s="674">
        <f t="shared" si="86"/>
        <v>0</v>
      </c>
      <c r="E923" s="730">
        <f t="shared" si="87"/>
        <v>0</v>
      </c>
      <c r="F923" s="730">
        <f t="shared" si="80"/>
        <v>0</v>
      </c>
      <c r="G923" s="674">
        <f t="shared" si="81"/>
        <v>0</v>
      </c>
      <c r="H923" s="724">
        <f>+J871*G923+E923</f>
        <v>0</v>
      </c>
      <c r="I923" s="731">
        <f>+J872*G923+E923</f>
        <v>0</v>
      </c>
      <c r="J923" s="727">
        <f t="shared" si="82"/>
        <v>0</v>
      </c>
      <c r="K923" s="727"/>
      <c r="L923" s="732"/>
      <c r="M923" s="727">
        <f t="shared" si="83"/>
        <v>0</v>
      </c>
      <c r="N923" s="732"/>
      <c r="O923" s="727">
        <f t="shared" si="84"/>
        <v>0</v>
      </c>
      <c r="P923" s="727">
        <f t="shared" si="85"/>
        <v>0</v>
      </c>
      <c r="Q923" s="675"/>
    </row>
    <row r="924" spans="2:17">
      <c r="B924" s="332"/>
      <c r="C924" s="723">
        <f>IF(D870="","-",+C923+1)</f>
        <v>2064</v>
      </c>
      <c r="D924" s="674">
        <f t="shared" si="86"/>
        <v>0</v>
      </c>
      <c r="E924" s="730">
        <f t="shared" si="87"/>
        <v>0</v>
      </c>
      <c r="F924" s="730">
        <f t="shared" si="80"/>
        <v>0</v>
      </c>
      <c r="G924" s="674">
        <f t="shared" si="81"/>
        <v>0</v>
      </c>
      <c r="H924" s="724">
        <f>+J871*G924+E924</f>
        <v>0</v>
      </c>
      <c r="I924" s="731">
        <f>+J872*G924+E924</f>
        <v>0</v>
      </c>
      <c r="J924" s="727">
        <f t="shared" si="82"/>
        <v>0</v>
      </c>
      <c r="K924" s="727"/>
      <c r="L924" s="732"/>
      <c r="M924" s="727">
        <f t="shared" si="83"/>
        <v>0</v>
      </c>
      <c r="N924" s="732"/>
      <c r="O924" s="727">
        <f t="shared" si="84"/>
        <v>0</v>
      </c>
      <c r="P924" s="727">
        <f t="shared" si="85"/>
        <v>0</v>
      </c>
      <c r="Q924" s="675"/>
    </row>
    <row r="925" spans="2:17">
      <c r="B925" s="332"/>
      <c r="C925" s="723">
        <f>IF(D870="","-",+C924+1)</f>
        <v>2065</v>
      </c>
      <c r="D925" s="674">
        <f t="shared" si="86"/>
        <v>0</v>
      </c>
      <c r="E925" s="730">
        <f t="shared" si="87"/>
        <v>0</v>
      </c>
      <c r="F925" s="730">
        <f t="shared" si="80"/>
        <v>0</v>
      </c>
      <c r="G925" s="674">
        <f t="shared" si="81"/>
        <v>0</v>
      </c>
      <c r="H925" s="724">
        <f>+J871*G925+E925</f>
        <v>0</v>
      </c>
      <c r="I925" s="731">
        <f>+J872*G925+E925</f>
        <v>0</v>
      </c>
      <c r="J925" s="727">
        <f t="shared" si="82"/>
        <v>0</v>
      </c>
      <c r="K925" s="727"/>
      <c r="L925" s="732"/>
      <c r="M925" s="727">
        <f t="shared" si="83"/>
        <v>0</v>
      </c>
      <c r="N925" s="732"/>
      <c r="O925" s="727">
        <f t="shared" si="84"/>
        <v>0</v>
      </c>
      <c r="P925" s="727">
        <f t="shared" si="85"/>
        <v>0</v>
      </c>
      <c r="Q925" s="675"/>
    </row>
    <row r="926" spans="2:17">
      <c r="B926" s="332"/>
      <c r="C926" s="723">
        <f>IF(D870="","-",+C925+1)</f>
        <v>2066</v>
      </c>
      <c r="D926" s="674">
        <f t="shared" si="86"/>
        <v>0</v>
      </c>
      <c r="E926" s="730">
        <f t="shared" si="87"/>
        <v>0</v>
      </c>
      <c r="F926" s="730">
        <f t="shared" si="80"/>
        <v>0</v>
      </c>
      <c r="G926" s="674">
        <f t="shared" si="81"/>
        <v>0</v>
      </c>
      <c r="H926" s="724">
        <f>+J871*G926+E926</f>
        <v>0</v>
      </c>
      <c r="I926" s="731">
        <f>+J872*G926+E926</f>
        <v>0</v>
      </c>
      <c r="J926" s="727">
        <f t="shared" si="82"/>
        <v>0</v>
      </c>
      <c r="K926" s="727"/>
      <c r="L926" s="732"/>
      <c r="M926" s="727">
        <f t="shared" si="83"/>
        <v>0</v>
      </c>
      <c r="N926" s="732"/>
      <c r="O926" s="727">
        <f t="shared" si="84"/>
        <v>0</v>
      </c>
      <c r="P926" s="727">
        <f t="shared" si="85"/>
        <v>0</v>
      </c>
      <c r="Q926" s="675"/>
    </row>
    <row r="927" spans="2:17">
      <c r="B927" s="332"/>
      <c r="C927" s="723">
        <f>IF(D870="","-",+C926+1)</f>
        <v>2067</v>
      </c>
      <c r="D927" s="674">
        <f t="shared" si="86"/>
        <v>0</v>
      </c>
      <c r="E927" s="730">
        <f t="shared" si="87"/>
        <v>0</v>
      </c>
      <c r="F927" s="730">
        <f t="shared" si="80"/>
        <v>0</v>
      </c>
      <c r="G927" s="674">
        <f t="shared" si="81"/>
        <v>0</v>
      </c>
      <c r="H927" s="724">
        <f>+J871*G927+E927</f>
        <v>0</v>
      </c>
      <c r="I927" s="731">
        <f>+J872*G927+E927</f>
        <v>0</v>
      </c>
      <c r="J927" s="727">
        <f t="shared" si="82"/>
        <v>0</v>
      </c>
      <c r="K927" s="727"/>
      <c r="L927" s="732"/>
      <c r="M927" s="727">
        <f t="shared" si="83"/>
        <v>0</v>
      </c>
      <c r="N927" s="732"/>
      <c r="O927" s="727">
        <f t="shared" si="84"/>
        <v>0</v>
      </c>
      <c r="P927" s="727">
        <f t="shared" si="85"/>
        <v>0</v>
      </c>
      <c r="Q927" s="675"/>
    </row>
    <row r="928" spans="2:17">
      <c r="B928" s="332"/>
      <c r="C928" s="723">
        <f>IF(D870="","-",+C927+1)</f>
        <v>2068</v>
      </c>
      <c r="D928" s="674">
        <f t="shared" si="86"/>
        <v>0</v>
      </c>
      <c r="E928" s="730">
        <f t="shared" si="87"/>
        <v>0</v>
      </c>
      <c r="F928" s="730">
        <f t="shared" si="80"/>
        <v>0</v>
      </c>
      <c r="G928" s="674">
        <f t="shared" si="81"/>
        <v>0</v>
      </c>
      <c r="H928" s="724">
        <f>+J871*G928+E928</f>
        <v>0</v>
      </c>
      <c r="I928" s="731">
        <f>+J872*G928+E928</f>
        <v>0</v>
      </c>
      <c r="J928" s="727">
        <f t="shared" si="82"/>
        <v>0</v>
      </c>
      <c r="K928" s="727"/>
      <c r="L928" s="732"/>
      <c r="M928" s="727">
        <f t="shared" si="83"/>
        <v>0</v>
      </c>
      <c r="N928" s="732"/>
      <c r="O928" s="727">
        <f t="shared" si="84"/>
        <v>0</v>
      </c>
      <c r="P928" s="727">
        <f t="shared" si="85"/>
        <v>0</v>
      </c>
      <c r="Q928" s="675"/>
    </row>
    <row r="929" spans="1:17">
      <c r="B929" s="332"/>
      <c r="C929" s="723">
        <f>IF(D870="","-",+C928+1)</f>
        <v>2069</v>
      </c>
      <c r="D929" s="674">
        <f t="shared" si="86"/>
        <v>0</v>
      </c>
      <c r="E929" s="730">
        <f t="shared" si="87"/>
        <v>0</v>
      </c>
      <c r="F929" s="730">
        <f t="shared" si="80"/>
        <v>0</v>
      </c>
      <c r="G929" s="674">
        <f t="shared" si="81"/>
        <v>0</v>
      </c>
      <c r="H929" s="724">
        <f>+J871*G929+E929</f>
        <v>0</v>
      </c>
      <c r="I929" s="731">
        <f>+J872*G929+E929</f>
        <v>0</v>
      </c>
      <c r="J929" s="727">
        <f t="shared" si="82"/>
        <v>0</v>
      </c>
      <c r="K929" s="727"/>
      <c r="L929" s="732"/>
      <c r="M929" s="727">
        <f t="shared" si="83"/>
        <v>0</v>
      </c>
      <c r="N929" s="732"/>
      <c r="O929" s="727">
        <f t="shared" si="84"/>
        <v>0</v>
      </c>
      <c r="P929" s="727">
        <f t="shared" si="85"/>
        <v>0</v>
      </c>
      <c r="Q929" s="675"/>
    </row>
    <row r="930" spans="1:17">
      <c r="B930" s="332"/>
      <c r="C930" s="723">
        <f>IF(D870="","-",+C929+1)</f>
        <v>2070</v>
      </c>
      <c r="D930" s="674">
        <f t="shared" si="86"/>
        <v>0</v>
      </c>
      <c r="E930" s="730">
        <f t="shared" si="87"/>
        <v>0</v>
      </c>
      <c r="F930" s="730">
        <f t="shared" si="80"/>
        <v>0</v>
      </c>
      <c r="G930" s="674">
        <f t="shared" si="81"/>
        <v>0</v>
      </c>
      <c r="H930" s="724">
        <f>+J871*G930+E930</f>
        <v>0</v>
      </c>
      <c r="I930" s="731">
        <f>+J872*G930+E930</f>
        <v>0</v>
      </c>
      <c r="J930" s="727">
        <f t="shared" si="82"/>
        <v>0</v>
      </c>
      <c r="K930" s="727"/>
      <c r="L930" s="732"/>
      <c r="M930" s="727">
        <f t="shared" si="83"/>
        <v>0</v>
      </c>
      <c r="N930" s="732"/>
      <c r="O930" s="727">
        <f t="shared" si="84"/>
        <v>0</v>
      </c>
      <c r="P930" s="727">
        <f t="shared" si="85"/>
        <v>0</v>
      </c>
      <c r="Q930" s="675"/>
    </row>
    <row r="931" spans="1:17">
      <c r="B931" s="332"/>
      <c r="C931" s="723">
        <f>IF(D870="","-",+C930+1)</f>
        <v>2071</v>
      </c>
      <c r="D931" s="674">
        <f t="shared" si="86"/>
        <v>0</v>
      </c>
      <c r="E931" s="730">
        <f t="shared" si="87"/>
        <v>0</v>
      </c>
      <c r="F931" s="730">
        <f t="shared" si="80"/>
        <v>0</v>
      </c>
      <c r="G931" s="674">
        <f t="shared" si="81"/>
        <v>0</v>
      </c>
      <c r="H931" s="724">
        <f>+J871*G931+E931</f>
        <v>0</v>
      </c>
      <c r="I931" s="731">
        <f>+J872*G931+E931</f>
        <v>0</v>
      </c>
      <c r="J931" s="727">
        <f t="shared" si="82"/>
        <v>0</v>
      </c>
      <c r="K931" s="727"/>
      <c r="L931" s="732"/>
      <c r="M931" s="727">
        <f t="shared" si="83"/>
        <v>0</v>
      </c>
      <c r="N931" s="732"/>
      <c r="O931" s="727">
        <f t="shared" si="84"/>
        <v>0</v>
      </c>
      <c r="P931" s="727">
        <f t="shared" si="85"/>
        <v>0</v>
      </c>
      <c r="Q931" s="675"/>
    </row>
    <row r="932" spans="1:17">
      <c r="B932" s="332"/>
      <c r="C932" s="723">
        <f>IF(D870="","-",+C931+1)</f>
        <v>2072</v>
      </c>
      <c r="D932" s="674">
        <f t="shared" si="86"/>
        <v>0</v>
      </c>
      <c r="E932" s="730">
        <f t="shared" si="87"/>
        <v>0</v>
      </c>
      <c r="F932" s="730">
        <f t="shared" si="80"/>
        <v>0</v>
      </c>
      <c r="G932" s="674">
        <f t="shared" si="81"/>
        <v>0</v>
      </c>
      <c r="H932" s="724">
        <f>+J871*G932+E932</f>
        <v>0</v>
      </c>
      <c r="I932" s="731">
        <f>+J872*G932+E932</f>
        <v>0</v>
      </c>
      <c r="J932" s="727">
        <f t="shared" si="82"/>
        <v>0</v>
      </c>
      <c r="K932" s="727"/>
      <c r="L932" s="732"/>
      <c r="M932" s="727">
        <f t="shared" si="83"/>
        <v>0</v>
      </c>
      <c r="N932" s="732"/>
      <c r="O932" s="727">
        <f t="shared" si="84"/>
        <v>0</v>
      </c>
      <c r="P932" s="727">
        <f t="shared" si="85"/>
        <v>0</v>
      </c>
      <c r="Q932" s="675"/>
    </row>
    <row r="933" spans="1:17">
      <c r="B933" s="332"/>
      <c r="C933" s="723">
        <f>IF(D870="","-",+C932+1)</f>
        <v>2073</v>
      </c>
      <c r="D933" s="674">
        <f t="shared" si="86"/>
        <v>0</v>
      </c>
      <c r="E933" s="730">
        <f t="shared" si="87"/>
        <v>0</v>
      </c>
      <c r="F933" s="730">
        <f t="shared" si="80"/>
        <v>0</v>
      </c>
      <c r="G933" s="674">
        <f t="shared" si="81"/>
        <v>0</v>
      </c>
      <c r="H933" s="724">
        <f>+J871*G933+E933</f>
        <v>0</v>
      </c>
      <c r="I933" s="731">
        <f>+J872*G933+E933</f>
        <v>0</v>
      </c>
      <c r="J933" s="727">
        <f t="shared" si="82"/>
        <v>0</v>
      </c>
      <c r="K933" s="727"/>
      <c r="L933" s="732"/>
      <c r="M933" s="727">
        <f t="shared" si="83"/>
        <v>0</v>
      </c>
      <c r="N933" s="732"/>
      <c r="O933" s="727">
        <f t="shared" si="84"/>
        <v>0</v>
      </c>
      <c r="P933" s="727">
        <f t="shared" si="85"/>
        <v>0</v>
      </c>
      <c r="Q933" s="675"/>
    </row>
    <row r="934" spans="1:17">
      <c r="B934" s="332"/>
      <c r="C934" s="723">
        <f>IF(D870="","-",+C933+1)</f>
        <v>2074</v>
      </c>
      <c r="D934" s="674">
        <f t="shared" si="86"/>
        <v>0</v>
      </c>
      <c r="E934" s="730">
        <f t="shared" si="87"/>
        <v>0</v>
      </c>
      <c r="F934" s="730">
        <f t="shared" si="80"/>
        <v>0</v>
      </c>
      <c r="G934" s="674">
        <f t="shared" si="81"/>
        <v>0</v>
      </c>
      <c r="H934" s="724">
        <f>+J871*G934+E934</f>
        <v>0</v>
      </c>
      <c r="I934" s="731">
        <f>+J872*G934+E934</f>
        <v>0</v>
      </c>
      <c r="J934" s="727">
        <f t="shared" si="82"/>
        <v>0</v>
      </c>
      <c r="K934" s="727"/>
      <c r="L934" s="732"/>
      <c r="M934" s="727">
        <f t="shared" si="83"/>
        <v>0</v>
      </c>
      <c r="N934" s="732"/>
      <c r="O934" s="727">
        <f t="shared" si="84"/>
        <v>0</v>
      </c>
      <c r="P934" s="727">
        <f t="shared" si="85"/>
        <v>0</v>
      </c>
      <c r="Q934" s="675"/>
    </row>
    <row r="935" spans="1:17" ht="13.5" thickBot="1">
      <c r="B935" s="332"/>
      <c r="C935" s="735">
        <f>IF(D870="","-",+C934+1)</f>
        <v>2075</v>
      </c>
      <c r="D935" s="736">
        <f t="shared" si="86"/>
        <v>0</v>
      </c>
      <c r="E935" s="737">
        <f t="shared" si="87"/>
        <v>0</v>
      </c>
      <c r="F935" s="737">
        <f t="shared" si="80"/>
        <v>0</v>
      </c>
      <c r="G935" s="736">
        <f t="shared" si="81"/>
        <v>0</v>
      </c>
      <c r="H935" s="738">
        <f>+J871*G935+E935</f>
        <v>0</v>
      </c>
      <c r="I935" s="738">
        <f>+J872*G935+E935</f>
        <v>0</v>
      </c>
      <c r="J935" s="739">
        <f t="shared" si="82"/>
        <v>0</v>
      </c>
      <c r="K935" s="727"/>
      <c r="L935" s="740"/>
      <c r="M935" s="739">
        <f t="shared" si="83"/>
        <v>0</v>
      </c>
      <c r="N935" s="740"/>
      <c r="O935" s="739">
        <f t="shared" si="84"/>
        <v>0</v>
      </c>
      <c r="P935" s="739">
        <f t="shared" si="85"/>
        <v>0</v>
      </c>
      <c r="Q935" s="675"/>
    </row>
    <row r="936" spans="1:17">
      <c r="B936" s="332"/>
      <c r="C936" s="674" t="s">
        <v>288</v>
      </c>
      <c r="D936" s="670"/>
      <c r="E936" s="670">
        <f>SUM(E876:E935)</f>
        <v>48782793.729999997</v>
      </c>
      <c r="F936" s="670"/>
      <c r="G936" s="670"/>
      <c r="H936" s="670">
        <f>SUM(H876:H935)</f>
        <v>164526843.6303893</v>
      </c>
      <c r="I936" s="670">
        <f>SUM(I876:I935)</f>
        <v>164526843.6303893</v>
      </c>
      <c r="J936" s="670">
        <f>SUM(J876:J935)</f>
        <v>0</v>
      </c>
      <c r="K936" s="670"/>
      <c r="L936" s="670"/>
      <c r="M936" s="670"/>
      <c r="N936" s="670"/>
      <c r="O936" s="670"/>
      <c r="Q936" s="670"/>
    </row>
    <row r="937" spans="1:17">
      <c r="B937" s="332"/>
      <c r="D937" s="564"/>
      <c r="E937" s="541"/>
      <c r="F937" s="541"/>
      <c r="G937" s="541"/>
      <c r="H937" s="541"/>
      <c r="I937" s="647"/>
      <c r="J937" s="647"/>
      <c r="K937" s="670"/>
      <c r="L937" s="647"/>
      <c r="M937" s="647"/>
      <c r="N937" s="647"/>
      <c r="O937" s="647"/>
      <c r="Q937" s="670"/>
    </row>
    <row r="938" spans="1:17">
      <c r="B938" s="332"/>
      <c r="C938" s="541" t="s">
        <v>601</v>
      </c>
      <c r="D938" s="564"/>
      <c r="E938" s="541"/>
      <c r="F938" s="541"/>
      <c r="G938" s="541"/>
      <c r="H938" s="541"/>
      <c r="I938" s="647"/>
      <c r="J938" s="647"/>
      <c r="K938" s="670"/>
      <c r="L938" s="647"/>
      <c r="M938" s="647"/>
      <c r="N938" s="647"/>
      <c r="O938" s="647"/>
      <c r="Q938" s="670"/>
    </row>
    <row r="939" spans="1:17">
      <c r="B939" s="332"/>
      <c r="D939" s="564"/>
      <c r="E939" s="541"/>
      <c r="F939" s="541"/>
      <c r="G939" s="541"/>
      <c r="H939" s="541"/>
      <c r="I939" s="647"/>
      <c r="J939" s="647"/>
      <c r="K939" s="670"/>
      <c r="L939" s="647"/>
      <c r="M939" s="647"/>
      <c r="N939" s="647"/>
      <c r="O939" s="647"/>
      <c r="Q939" s="670"/>
    </row>
    <row r="940" spans="1:17">
      <c r="B940" s="332"/>
      <c r="C940" s="577" t="s">
        <v>602</v>
      </c>
      <c r="D940" s="674"/>
      <c r="E940" s="674"/>
      <c r="F940" s="674"/>
      <c r="G940" s="674"/>
      <c r="H940" s="670"/>
      <c r="I940" s="670"/>
      <c r="J940" s="675"/>
      <c r="K940" s="675"/>
      <c r="L940" s="675"/>
      <c r="M940" s="675"/>
      <c r="N940" s="675"/>
      <c r="O940" s="675"/>
      <c r="Q940" s="675"/>
    </row>
    <row r="941" spans="1:17">
      <c r="B941" s="332"/>
      <c r="C941" s="577" t="s">
        <v>476</v>
      </c>
      <c r="D941" s="674"/>
      <c r="E941" s="674"/>
      <c r="F941" s="674"/>
      <c r="G941" s="674"/>
      <c r="H941" s="670"/>
      <c r="I941" s="670"/>
      <c r="J941" s="675"/>
      <c r="K941" s="675"/>
      <c r="L941" s="675"/>
      <c r="M941" s="675"/>
      <c r="N941" s="675"/>
      <c r="O941" s="675"/>
      <c r="Q941" s="675"/>
    </row>
    <row r="942" spans="1:17">
      <c r="B942" s="332"/>
      <c r="C942" s="577" t="s">
        <v>289</v>
      </c>
      <c r="D942" s="674"/>
      <c r="E942" s="674"/>
      <c r="F942" s="674"/>
      <c r="G942" s="674"/>
      <c r="H942" s="670"/>
      <c r="I942" s="670"/>
      <c r="J942" s="675"/>
      <c r="K942" s="675"/>
      <c r="L942" s="675"/>
      <c r="M942" s="675"/>
      <c r="N942" s="675"/>
      <c r="O942" s="675"/>
      <c r="Q942" s="675"/>
    </row>
    <row r="943" spans="1:17" ht="20.25">
      <c r="A943" s="676" t="s">
        <v>770</v>
      </c>
      <c r="B943" s="541"/>
      <c r="C943" s="656"/>
      <c r="D943" s="564"/>
      <c r="E943" s="541"/>
      <c r="F943" s="646"/>
      <c r="G943" s="646"/>
      <c r="H943" s="541"/>
      <c r="I943" s="647"/>
      <c r="L943" s="677"/>
      <c r="M943" s="677"/>
      <c r="N943" s="677"/>
      <c r="O943" s="592" t="str">
        <f>"Page "&amp;SUM(Q$3:Q943)&amp;" of "</f>
        <v xml:space="preserve">Page 12 of </v>
      </c>
      <c r="P943" s="593">
        <f>COUNT(Q$8:Q$58123)</f>
        <v>16</v>
      </c>
      <c r="Q943" s="761">
        <v>1</v>
      </c>
    </row>
    <row r="944" spans="1:17">
      <c r="B944" s="541"/>
      <c r="C944" s="541"/>
      <c r="D944" s="564"/>
      <c r="E944" s="541"/>
      <c r="F944" s="541"/>
      <c r="G944" s="541"/>
      <c r="H944" s="541"/>
      <c r="I944" s="647"/>
      <c r="J944" s="541"/>
      <c r="K944" s="589"/>
      <c r="Q944" s="589"/>
    </row>
    <row r="945" spans="1:17" ht="18">
      <c r="B945" s="596" t="s">
        <v>174</v>
      </c>
      <c r="C945" s="678" t="s">
        <v>290</v>
      </c>
      <c r="D945" s="564"/>
      <c r="E945" s="541"/>
      <c r="F945" s="541"/>
      <c r="G945" s="541"/>
      <c r="H945" s="541"/>
      <c r="I945" s="647"/>
      <c r="J945" s="647"/>
      <c r="K945" s="670"/>
      <c r="L945" s="647"/>
      <c r="M945" s="647"/>
      <c r="N945" s="647"/>
      <c r="O945" s="647"/>
      <c r="Q945" s="670"/>
    </row>
    <row r="946" spans="1:17" ht="18.75">
      <c r="B946" s="596"/>
      <c r="C946" s="595"/>
      <c r="D946" s="564"/>
      <c r="E946" s="541"/>
      <c r="F946" s="541"/>
      <c r="G946" s="541"/>
      <c r="H946" s="541"/>
      <c r="I946" s="647"/>
      <c r="J946" s="647"/>
      <c r="K946" s="670"/>
      <c r="L946" s="647"/>
      <c r="M946" s="647"/>
      <c r="N946" s="647"/>
      <c r="O946" s="647"/>
      <c r="Q946" s="670"/>
    </row>
    <row r="947" spans="1:17" ht="18.75">
      <c r="B947" s="596"/>
      <c r="C947" s="595" t="s">
        <v>291</v>
      </c>
      <c r="D947" s="564"/>
      <c r="E947" s="541"/>
      <c r="F947" s="541"/>
      <c r="G947" s="541"/>
      <c r="H947" s="541"/>
      <c r="I947" s="647"/>
      <c r="J947" s="647"/>
      <c r="K947" s="670"/>
      <c r="L947" s="647"/>
      <c r="M947" s="647"/>
      <c r="N947" s="647"/>
      <c r="O947" s="647"/>
      <c r="Q947" s="670"/>
    </row>
    <row r="948" spans="1:17" ht="15.75" thickBot="1">
      <c r="B948" s="332"/>
      <c r="C948" s="398"/>
      <c r="D948" s="564"/>
      <c r="E948" s="541"/>
      <c r="F948" s="541"/>
      <c r="G948" s="541"/>
      <c r="H948" s="541"/>
      <c r="I948" s="647"/>
      <c r="J948" s="647"/>
      <c r="K948" s="670"/>
      <c r="L948" s="647"/>
      <c r="M948" s="647"/>
      <c r="N948" s="647"/>
      <c r="O948" s="647"/>
      <c r="Q948" s="670"/>
    </row>
    <row r="949" spans="1:17" ht="15.75">
      <c r="B949" s="332"/>
      <c r="C949" s="597" t="s">
        <v>292</v>
      </c>
      <c r="D949" s="564"/>
      <c r="E949" s="541"/>
      <c r="F949" s="541"/>
      <c r="G949" s="541"/>
      <c r="H949" s="870"/>
      <c r="I949" s="541" t="s">
        <v>271</v>
      </c>
      <c r="J949" s="541"/>
      <c r="K949" s="589"/>
      <c r="L949" s="762">
        <f>+J955</f>
        <v>2020</v>
      </c>
      <c r="M949" s="744" t="s">
        <v>254</v>
      </c>
      <c r="N949" s="744" t="s">
        <v>255</v>
      </c>
      <c r="O949" s="745" t="s">
        <v>256</v>
      </c>
      <c r="Q949" s="589"/>
    </row>
    <row r="950" spans="1:17" ht="15.75">
      <c r="B950" s="332"/>
      <c r="C950" s="597"/>
      <c r="D950" s="564"/>
      <c r="E950" s="541"/>
      <c r="F950" s="541"/>
      <c r="H950" s="541"/>
      <c r="I950" s="682"/>
      <c r="J950" s="682"/>
      <c r="K950" s="683"/>
      <c r="L950" s="763" t="s">
        <v>455</v>
      </c>
      <c r="M950" s="764">
        <f>VLOOKUP(J955,C962:P1021,10)</f>
        <v>29632.778508013103</v>
      </c>
      <c r="N950" s="764">
        <f>VLOOKUP(J955,C962:P1021,12)</f>
        <v>29632.778508013103</v>
      </c>
      <c r="O950" s="765">
        <f>+N950-M950</f>
        <v>0</v>
      </c>
      <c r="Q950" s="683"/>
    </row>
    <row r="951" spans="1:17">
      <c r="B951" s="332"/>
      <c r="C951" s="685" t="s">
        <v>293</v>
      </c>
      <c r="D951" s="1544" t="s">
        <v>984</v>
      </c>
      <c r="E951" s="1544"/>
      <c r="F951" s="1544"/>
      <c r="G951" s="1544"/>
      <c r="H951" s="1544"/>
      <c r="I951" s="647"/>
      <c r="J951" s="647"/>
      <c r="K951" s="670"/>
      <c r="L951" s="763" t="s">
        <v>456</v>
      </c>
      <c r="M951" s="766">
        <f>VLOOKUP(J955,C962:P1021,6)</f>
        <v>29108.695113700393</v>
      </c>
      <c r="N951" s="766">
        <f>VLOOKUP(J955,C962:P1021,7)</f>
        <v>29108.695113700393</v>
      </c>
      <c r="O951" s="767">
        <f>+N951-M951</f>
        <v>0</v>
      </c>
      <c r="Q951" s="670"/>
    </row>
    <row r="952" spans="1:17" ht="13.5" thickBot="1">
      <c r="B952" s="332"/>
      <c r="C952" s="687"/>
      <c r="D952" s="688"/>
      <c r="E952" s="672"/>
      <c r="F952" s="672"/>
      <c r="G952" s="672"/>
      <c r="H952" s="689"/>
      <c r="I952" s="647"/>
      <c r="J952" s="647"/>
      <c r="K952" s="670"/>
      <c r="L952" s="708" t="s">
        <v>457</v>
      </c>
      <c r="M952" s="768">
        <f>+M951-M950</f>
        <v>-524.08339431271088</v>
      </c>
      <c r="N952" s="768">
        <f>+N951-N950</f>
        <v>-524.08339431271088</v>
      </c>
      <c r="O952" s="769">
        <f>+O951-O950</f>
        <v>0</v>
      </c>
      <c r="Q952" s="670"/>
    </row>
    <row r="953" spans="1:17" ht="13.5" thickBot="1">
      <c r="B953" s="332"/>
      <c r="C953" s="690"/>
      <c r="D953" s="691"/>
      <c r="E953" s="689"/>
      <c r="F953" s="689"/>
      <c r="G953" s="689"/>
      <c r="H953" s="689"/>
      <c r="I953" s="689"/>
      <c r="J953" s="689"/>
      <c r="K953" s="692"/>
      <c r="L953" s="689"/>
      <c r="M953" s="689"/>
      <c r="N953" s="689"/>
      <c r="O953" s="689"/>
      <c r="P953" s="577"/>
      <c r="Q953" s="692"/>
    </row>
    <row r="954" spans="1:17" ht="13.5" thickBot="1">
      <c r="B954" s="332"/>
      <c r="C954" s="694" t="s">
        <v>294</v>
      </c>
      <c r="D954" s="695"/>
      <c r="E954" s="695"/>
      <c r="F954" s="695"/>
      <c r="G954" s="695"/>
      <c r="H954" s="695"/>
      <c r="I954" s="695"/>
      <c r="J954" s="695"/>
      <c r="K954" s="697"/>
      <c r="P954" s="698"/>
      <c r="Q954" s="697"/>
    </row>
    <row r="955" spans="1:17" ht="15">
      <c r="A955" s="693"/>
      <c r="B955" s="332"/>
      <c r="C955" s="700" t="s">
        <v>272</v>
      </c>
      <c r="D955" s="1256">
        <v>267989.21999999997</v>
      </c>
      <c r="E955" s="656" t="s">
        <v>273</v>
      </c>
      <c r="H955" s="701"/>
      <c r="I955" s="701"/>
      <c r="J955" s="702">
        <f>$J$95</f>
        <v>2020</v>
      </c>
      <c r="K955" s="587"/>
      <c r="L955" s="1545" t="s">
        <v>274</v>
      </c>
      <c r="M955" s="1545"/>
      <c r="N955" s="1545"/>
      <c r="O955" s="1545"/>
      <c r="P955" s="589"/>
      <c r="Q955" s="587"/>
    </row>
    <row r="956" spans="1:17">
      <c r="A956" s="693"/>
      <c r="B956" s="332"/>
      <c r="C956" s="700" t="s">
        <v>275</v>
      </c>
      <c r="D956" s="872">
        <v>2014</v>
      </c>
      <c r="E956" s="700" t="s">
        <v>276</v>
      </c>
      <c r="F956" s="701"/>
      <c r="G956" s="701"/>
      <c r="I956" s="332"/>
      <c r="J956" s="875">
        <v>0</v>
      </c>
      <c r="K956" s="703"/>
      <c r="L956" s="670" t="s">
        <v>475</v>
      </c>
      <c r="P956" s="589"/>
      <c r="Q956" s="703"/>
    </row>
    <row r="957" spans="1:17">
      <c r="A957" s="693"/>
      <c r="B957" s="332"/>
      <c r="C957" s="700" t="s">
        <v>277</v>
      </c>
      <c r="D957" s="1257">
        <v>1</v>
      </c>
      <c r="E957" s="700" t="s">
        <v>278</v>
      </c>
      <c r="F957" s="701"/>
      <c r="G957" s="701"/>
      <c r="I957" s="332"/>
      <c r="J957" s="704">
        <f>$F$70</f>
        <v>0.1009634410531228</v>
      </c>
      <c r="K957" s="705"/>
      <c r="L957" s="541" t="str">
        <f>"          INPUT TRUE-UP ARR (WITH &amp; WITHOUT INCENTIVES) FROM EACH PRIOR YEAR"</f>
        <v xml:space="preserve">          INPUT TRUE-UP ARR (WITH &amp; WITHOUT INCENTIVES) FROM EACH PRIOR YEAR</v>
      </c>
      <c r="P957" s="589"/>
      <c r="Q957" s="705"/>
    </row>
    <row r="958" spans="1:17">
      <c r="A958" s="693"/>
      <c r="B958" s="332"/>
      <c r="C958" s="700" t="s">
        <v>279</v>
      </c>
      <c r="D958" s="706">
        <f>H79</f>
        <v>46</v>
      </c>
      <c r="E958" s="700" t="s">
        <v>280</v>
      </c>
      <c r="F958" s="701"/>
      <c r="G958" s="701"/>
      <c r="I958" s="332"/>
      <c r="J958" s="704">
        <f>IF(H949="",J957,$F$69)</f>
        <v>0.1009634410531228</v>
      </c>
      <c r="K958" s="707"/>
      <c r="L958" s="541" t="s">
        <v>362</v>
      </c>
      <c r="M958" s="707"/>
      <c r="N958" s="707"/>
      <c r="O958" s="707"/>
      <c r="P958" s="589"/>
      <c r="Q958" s="707"/>
    </row>
    <row r="959" spans="1:17" ht="13.5" thickBot="1">
      <c r="A959" s="693"/>
      <c r="B959" s="332"/>
      <c r="C959" s="700" t="s">
        <v>281</v>
      </c>
      <c r="D959" s="874" t="s">
        <v>974</v>
      </c>
      <c r="E959" s="708" t="s">
        <v>282</v>
      </c>
      <c r="F959" s="709"/>
      <c r="G959" s="709"/>
      <c r="H959" s="710"/>
      <c r="I959" s="710"/>
      <c r="J959" s="686">
        <f>IF(D955=0,0,D955/D958)</f>
        <v>5825.8526086956517</v>
      </c>
      <c r="K959" s="670"/>
      <c r="L959" s="670" t="s">
        <v>363</v>
      </c>
      <c r="M959" s="670"/>
      <c r="N959" s="670"/>
      <c r="O959" s="670"/>
      <c r="P959" s="589"/>
      <c r="Q959" s="670"/>
    </row>
    <row r="960" spans="1:17" ht="38.25">
      <c r="A960" s="528"/>
      <c r="B960" s="528"/>
      <c r="C960" s="711" t="s">
        <v>272</v>
      </c>
      <c r="D960" s="712" t="s">
        <v>283</v>
      </c>
      <c r="E960" s="713" t="s">
        <v>284</v>
      </c>
      <c r="F960" s="712" t="s">
        <v>285</v>
      </c>
      <c r="G960" s="712" t="s">
        <v>458</v>
      </c>
      <c r="H960" s="713" t="s">
        <v>356</v>
      </c>
      <c r="I960" s="714" t="s">
        <v>356</v>
      </c>
      <c r="J960" s="711" t="s">
        <v>295</v>
      </c>
      <c r="K960" s="715"/>
      <c r="L960" s="713" t="s">
        <v>358</v>
      </c>
      <c r="M960" s="713" t="s">
        <v>364</v>
      </c>
      <c r="N960" s="713" t="s">
        <v>358</v>
      </c>
      <c r="O960" s="713" t="s">
        <v>366</v>
      </c>
      <c r="P960" s="713" t="s">
        <v>286</v>
      </c>
      <c r="Q960" s="716"/>
    </row>
    <row r="961" spans="2:17" ht="13.5" thickBot="1">
      <c r="B961" s="332"/>
      <c r="C961" s="717" t="s">
        <v>177</v>
      </c>
      <c r="D961" s="718" t="s">
        <v>178</v>
      </c>
      <c r="E961" s="717" t="s">
        <v>37</v>
      </c>
      <c r="F961" s="718" t="s">
        <v>178</v>
      </c>
      <c r="G961" s="718" t="s">
        <v>178</v>
      </c>
      <c r="H961" s="719" t="s">
        <v>298</v>
      </c>
      <c r="I961" s="720" t="s">
        <v>300</v>
      </c>
      <c r="J961" s="721" t="s">
        <v>389</v>
      </c>
      <c r="K961" s="722"/>
      <c r="L961" s="719" t="s">
        <v>287</v>
      </c>
      <c r="M961" s="719" t="s">
        <v>287</v>
      </c>
      <c r="N961" s="719" t="s">
        <v>467</v>
      </c>
      <c r="O961" s="719" t="s">
        <v>467</v>
      </c>
      <c r="P961" s="719" t="s">
        <v>467</v>
      </c>
      <c r="Q961" s="587"/>
    </row>
    <row r="962" spans="2:17">
      <c r="B962" s="332"/>
      <c r="C962" s="723">
        <f>IF(D956= "","-",D956)</f>
        <v>2014</v>
      </c>
      <c r="D962" s="674">
        <f>+D955</f>
        <v>267989.21999999997</v>
      </c>
      <c r="E962" s="724">
        <f>+J959/12*(12-D957)</f>
        <v>5340.364891304348</v>
      </c>
      <c r="F962" s="770">
        <f t="shared" ref="F962:F1021" si="88">+D962-E962</f>
        <v>262648.85510869563</v>
      </c>
      <c r="G962" s="674">
        <f t="shared" ref="G962:G1021" si="89">+(D962+F962)/2</f>
        <v>265319.03755434777</v>
      </c>
      <c r="H962" s="725">
        <f>+J957*G962+E962</f>
        <v>32127.887899694011</v>
      </c>
      <c r="I962" s="726">
        <f>+J958*G962+E962</f>
        <v>32127.887899694011</v>
      </c>
      <c r="J962" s="727">
        <f t="shared" ref="J962:J1021" si="90">+I962-H962</f>
        <v>0</v>
      </c>
      <c r="K962" s="727"/>
      <c r="L962" s="728">
        <v>0</v>
      </c>
      <c r="M962" s="771">
        <f t="shared" ref="M962:M1021" si="91">IF(L962&lt;&gt;0,+H962-L962,0)</f>
        <v>0</v>
      </c>
      <c r="N962" s="728">
        <v>0</v>
      </c>
      <c r="O962" s="771">
        <f t="shared" ref="O962:O1021" si="92">IF(N962&lt;&gt;0,+I962-N962,0)</f>
        <v>0</v>
      </c>
      <c r="P962" s="771">
        <f t="shared" ref="P962:P1021" si="93">+O962-M962</f>
        <v>0</v>
      </c>
      <c r="Q962" s="675"/>
    </row>
    <row r="963" spans="2:17">
      <c r="B963" s="332"/>
      <c r="C963" s="723">
        <f>IF(D956="","-",+C962+1)</f>
        <v>2015</v>
      </c>
      <c r="D963" s="674">
        <f t="shared" ref="D963:D1021" si="94">F962</f>
        <v>262648.85510869563</v>
      </c>
      <c r="E963" s="730">
        <f>IF(D963&gt;$J$959,$J$959,D963)</f>
        <v>5825.8526086956517</v>
      </c>
      <c r="F963" s="730">
        <f t="shared" si="88"/>
        <v>256823.00249999997</v>
      </c>
      <c r="G963" s="674">
        <f t="shared" si="89"/>
        <v>259735.92880434782</v>
      </c>
      <c r="H963" s="724">
        <f>+J957*G963+E963</f>
        <v>32049.685745911524</v>
      </c>
      <c r="I963" s="731">
        <f>+J958*G963+E963</f>
        <v>32049.685745911524</v>
      </c>
      <c r="J963" s="727">
        <f t="shared" si="90"/>
        <v>0</v>
      </c>
      <c r="K963" s="727"/>
      <c r="L963" s="732">
        <v>0</v>
      </c>
      <c r="M963" s="727">
        <f t="shared" si="91"/>
        <v>0</v>
      </c>
      <c r="N963" s="732">
        <v>0</v>
      </c>
      <c r="O963" s="727">
        <f t="shared" si="92"/>
        <v>0</v>
      </c>
      <c r="P963" s="727">
        <f t="shared" si="93"/>
        <v>0</v>
      </c>
      <c r="Q963" s="675"/>
    </row>
    <row r="964" spans="2:17">
      <c r="B964" s="332"/>
      <c r="C964" s="723">
        <f>IF(D956="","-",+C963+1)</f>
        <v>2016</v>
      </c>
      <c r="D964" s="1270">
        <f t="shared" si="94"/>
        <v>256823.00249999997</v>
      </c>
      <c r="E964" s="730">
        <f t="shared" ref="E964:E1021" si="95">IF(D964&gt;$J$959,$J$959,D964)</f>
        <v>5825.8526086956517</v>
      </c>
      <c r="F964" s="730">
        <f t="shared" si="88"/>
        <v>250997.14989130432</v>
      </c>
      <c r="G964" s="674">
        <f t="shared" si="89"/>
        <v>253910.07619565213</v>
      </c>
      <c r="H964" s="724">
        <f>+J957*G964+E964</f>
        <v>31461.487619469295</v>
      </c>
      <c r="I964" s="731">
        <f>+J958*G964+E964</f>
        <v>31461.487619469295</v>
      </c>
      <c r="J964" s="727">
        <f t="shared" si="90"/>
        <v>0</v>
      </c>
      <c r="K964" s="727"/>
      <c r="L964" s="732">
        <v>0</v>
      </c>
      <c r="M964" s="727">
        <f t="shared" si="91"/>
        <v>0</v>
      </c>
      <c r="N964" s="732">
        <v>0</v>
      </c>
      <c r="O964" s="727">
        <f t="shared" si="92"/>
        <v>0</v>
      </c>
      <c r="P964" s="727">
        <f t="shared" si="93"/>
        <v>0</v>
      </c>
      <c r="Q964" s="675"/>
    </row>
    <row r="965" spans="2:17">
      <c r="B965" s="332"/>
      <c r="C965" s="723">
        <f>IF(D956="","-",+C964+1)</f>
        <v>2017</v>
      </c>
      <c r="D965" s="1270">
        <f t="shared" si="94"/>
        <v>250997.14989130432</v>
      </c>
      <c r="E965" s="730">
        <f t="shared" si="95"/>
        <v>5825.8526086956517</v>
      </c>
      <c r="F965" s="730">
        <f t="shared" si="88"/>
        <v>245171.29728260866</v>
      </c>
      <c r="G965" s="674">
        <f t="shared" si="89"/>
        <v>248084.2235869565</v>
      </c>
      <c r="H965" s="724">
        <f>+J957*G965+E965</f>
        <v>30873.28949302707</v>
      </c>
      <c r="I965" s="731">
        <f>+J958*G965+E965</f>
        <v>30873.28949302707</v>
      </c>
      <c r="J965" s="727">
        <f t="shared" si="90"/>
        <v>0</v>
      </c>
      <c r="K965" s="727"/>
      <c r="L965" s="732">
        <v>31947</v>
      </c>
      <c r="M965" s="727">
        <f t="shared" si="91"/>
        <v>-1073.7105069729296</v>
      </c>
      <c r="N965" s="732">
        <v>31947</v>
      </c>
      <c r="O965" s="727">
        <f t="shared" si="92"/>
        <v>-1073.7105069729296</v>
      </c>
      <c r="P965" s="727">
        <f t="shared" si="93"/>
        <v>0</v>
      </c>
      <c r="Q965" s="675"/>
    </row>
    <row r="966" spans="2:17">
      <c r="B966" s="332"/>
      <c r="C966" s="723">
        <f>IF(D956="","-",+C965+1)</f>
        <v>2018</v>
      </c>
      <c r="D966" s="1453">
        <f t="shared" si="94"/>
        <v>245171.29728260866</v>
      </c>
      <c r="E966" s="730">
        <f t="shared" si="95"/>
        <v>5825.8526086956517</v>
      </c>
      <c r="F966" s="730">
        <f t="shared" si="88"/>
        <v>239345.44467391301</v>
      </c>
      <c r="G966" s="674">
        <f t="shared" si="89"/>
        <v>242258.37097826082</v>
      </c>
      <c r="H966" s="724">
        <f>+J957*G966+E966</f>
        <v>30285.091366584842</v>
      </c>
      <c r="I966" s="731">
        <f>+J958*G966+E966</f>
        <v>30285.091366584842</v>
      </c>
      <c r="J966" s="727">
        <f t="shared" si="90"/>
        <v>0</v>
      </c>
      <c r="K966" s="727"/>
      <c r="L966" s="732">
        <v>35555</v>
      </c>
      <c r="M966" s="727">
        <f t="shared" si="91"/>
        <v>-5269.908633415158</v>
      </c>
      <c r="N966" s="732">
        <v>35555</v>
      </c>
      <c r="O966" s="727">
        <f t="shared" si="92"/>
        <v>-5269.908633415158</v>
      </c>
      <c r="P966" s="727">
        <f t="shared" si="93"/>
        <v>0</v>
      </c>
      <c r="Q966" s="675"/>
    </row>
    <row r="967" spans="2:17">
      <c r="B967" s="332"/>
      <c r="C967" s="723">
        <f>IF(D956="","-",+C966+1)</f>
        <v>2019</v>
      </c>
      <c r="D967" s="674">
        <f t="shared" si="94"/>
        <v>239345.44467391301</v>
      </c>
      <c r="E967" s="730">
        <f t="shared" si="95"/>
        <v>5825.8526086956517</v>
      </c>
      <c r="F967" s="730">
        <f t="shared" si="88"/>
        <v>233519.59206521735</v>
      </c>
      <c r="G967" s="674">
        <f t="shared" si="89"/>
        <v>236432.51836956519</v>
      </c>
      <c r="H967" s="724">
        <f>+J957*G967+E967</f>
        <v>29696.893240142621</v>
      </c>
      <c r="I967" s="731">
        <f>+J958*G967+E967</f>
        <v>29696.893240142621</v>
      </c>
      <c r="J967" s="727">
        <f t="shared" si="90"/>
        <v>0</v>
      </c>
      <c r="K967" s="727"/>
      <c r="L967" s="732">
        <v>31141</v>
      </c>
      <c r="M967" s="727">
        <f t="shared" si="91"/>
        <v>-1444.1067598573791</v>
      </c>
      <c r="N967" s="732">
        <v>31141</v>
      </c>
      <c r="O967" s="727">
        <f t="shared" si="92"/>
        <v>-1444.1067598573791</v>
      </c>
      <c r="P967" s="727">
        <f t="shared" si="93"/>
        <v>0</v>
      </c>
      <c r="Q967" s="675"/>
    </row>
    <row r="968" spans="2:17">
      <c r="B968" s="332"/>
      <c r="C968" s="723">
        <f>IF(D956="","-",+C967+1)</f>
        <v>2020</v>
      </c>
      <c r="D968" s="674">
        <f t="shared" si="94"/>
        <v>233519.59206521735</v>
      </c>
      <c r="E968" s="730">
        <f t="shared" si="95"/>
        <v>5825.8526086956517</v>
      </c>
      <c r="F968" s="730">
        <f t="shared" si="88"/>
        <v>227693.7394565217</v>
      </c>
      <c r="G968" s="674">
        <f t="shared" si="89"/>
        <v>230606.66576086951</v>
      </c>
      <c r="H968" s="724">
        <f>+J957*G968+E968</f>
        <v>29108.695113700393</v>
      </c>
      <c r="I968" s="731">
        <f>+J958*G968+E968</f>
        <v>29108.695113700393</v>
      </c>
      <c r="J968" s="727">
        <f t="shared" si="90"/>
        <v>0</v>
      </c>
      <c r="K968" s="727"/>
      <c r="L968" s="732">
        <v>29632.778508013103</v>
      </c>
      <c r="M968" s="727">
        <f t="shared" si="91"/>
        <v>-524.08339431271088</v>
      </c>
      <c r="N968" s="732">
        <v>29632.778508013103</v>
      </c>
      <c r="O968" s="727">
        <f t="shared" si="92"/>
        <v>-524.08339431271088</v>
      </c>
      <c r="P968" s="727">
        <f t="shared" si="93"/>
        <v>0</v>
      </c>
      <c r="Q968" s="675"/>
    </row>
    <row r="969" spans="2:17">
      <c r="B969" s="332"/>
      <c r="C969" s="723">
        <f>IF(D956="","-",+C968+1)</f>
        <v>2021</v>
      </c>
      <c r="D969" s="674">
        <f t="shared" si="94"/>
        <v>227693.7394565217</v>
      </c>
      <c r="E969" s="730">
        <f t="shared" si="95"/>
        <v>5825.8526086956517</v>
      </c>
      <c r="F969" s="730">
        <f t="shared" si="88"/>
        <v>221867.88684782604</v>
      </c>
      <c r="G969" s="674">
        <f t="shared" si="89"/>
        <v>224780.81315217388</v>
      </c>
      <c r="H969" s="724">
        <f>+J957*G969+E969</f>
        <v>28520.496987258168</v>
      </c>
      <c r="I969" s="731">
        <f>+J958*G969+E969</f>
        <v>28520.496987258168</v>
      </c>
      <c r="J969" s="727">
        <f t="shared" si="90"/>
        <v>0</v>
      </c>
      <c r="K969" s="727"/>
      <c r="L969" s="732">
        <v>0</v>
      </c>
      <c r="M969" s="727">
        <f t="shared" si="91"/>
        <v>0</v>
      </c>
      <c r="N969" s="732">
        <v>0</v>
      </c>
      <c r="O969" s="727">
        <f t="shared" si="92"/>
        <v>0</v>
      </c>
      <c r="P969" s="727">
        <f t="shared" si="93"/>
        <v>0</v>
      </c>
      <c r="Q969" s="675"/>
    </row>
    <row r="970" spans="2:17">
      <c r="B970" s="332"/>
      <c r="C970" s="723">
        <f>IF(D956="","-",+C969+1)</f>
        <v>2022</v>
      </c>
      <c r="D970" s="674">
        <f t="shared" si="94"/>
        <v>221867.88684782604</v>
      </c>
      <c r="E970" s="730">
        <f t="shared" si="95"/>
        <v>5825.8526086956517</v>
      </c>
      <c r="F970" s="730">
        <f t="shared" si="88"/>
        <v>216042.03423913039</v>
      </c>
      <c r="G970" s="674">
        <f t="shared" si="89"/>
        <v>218954.9605434782</v>
      </c>
      <c r="H970" s="724">
        <f>+J957*G970+E970</f>
        <v>27932.298860815939</v>
      </c>
      <c r="I970" s="731">
        <f>+J958*G970+E970</f>
        <v>27932.298860815939</v>
      </c>
      <c r="J970" s="727">
        <f t="shared" si="90"/>
        <v>0</v>
      </c>
      <c r="K970" s="727"/>
      <c r="L970" s="732">
        <v>0</v>
      </c>
      <c r="M970" s="727">
        <f t="shared" si="91"/>
        <v>0</v>
      </c>
      <c r="N970" s="732">
        <v>0</v>
      </c>
      <c r="O970" s="727">
        <f t="shared" si="92"/>
        <v>0</v>
      </c>
      <c r="P970" s="727">
        <f t="shared" si="93"/>
        <v>0</v>
      </c>
      <c r="Q970" s="675"/>
    </row>
    <row r="971" spans="2:17">
      <c r="B971" s="332"/>
      <c r="C971" s="723">
        <f>IF(D956="","-",+C970+1)</f>
        <v>2023</v>
      </c>
      <c r="D971" s="674">
        <f t="shared" si="94"/>
        <v>216042.03423913039</v>
      </c>
      <c r="E971" s="730">
        <f t="shared" si="95"/>
        <v>5825.8526086956517</v>
      </c>
      <c r="F971" s="730">
        <f t="shared" si="88"/>
        <v>210216.18163043473</v>
      </c>
      <c r="G971" s="674">
        <f t="shared" si="89"/>
        <v>213129.10793478257</v>
      </c>
      <c r="H971" s="724">
        <f>+J957*G971+E971</f>
        <v>27344.100734373718</v>
      </c>
      <c r="I971" s="731">
        <f>+J958*G971+E971</f>
        <v>27344.100734373718</v>
      </c>
      <c r="J971" s="727">
        <f t="shared" si="90"/>
        <v>0</v>
      </c>
      <c r="K971" s="727"/>
      <c r="L971" s="732">
        <v>0</v>
      </c>
      <c r="M971" s="727">
        <f t="shared" si="91"/>
        <v>0</v>
      </c>
      <c r="N971" s="732">
        <v>0</v>
      </c>
      <c r="O971" s="727">
        <f t="shared" si="92"/>
        <v>0</v>
      </c>
      <c r="P971" s="727">
        <f t="shared" si="93"/>
        <v>0</v>
      </c>
      <c r="Q971" s="675"/>
    </row>
    <row r="972" spans="2:17">
      <c r="B972" s="332"/>
      <c r="C972" s="723">
        <f>IF(D956="","-",+C971+1)</f>
        <v>2024</v>
      </c>
      <c r="D972" s="674">
        <f t="shared" si="94"/>
        <v>210216.18163043473</v>
      </c>
      <c r="E972" s="730">
        <f t="shared" si="95"/>
        <v>5825.8526086956517</v>
      </c>
      <c r="F972" s="730">
        <f t="shared" si="88"/>
        <v>204390.32902173907</v>
      </c>
      <c r="G972" s="674">
        <f t="shared" si="89"/>
        <v>207303.25532608689</v>
      </c>
      <c r="H972" s="724">
        <f>+J957*G972+E972</f>
        <v>26755.90260793149</v>
      </c>
      <c r="I972" s="731">
        <f>+J958*G972+E972</f>
        <v>26755.90260793149</v>
      </c>
      <c r="J972" s="727">
        <f t="shared" si="90"/>
        <v>0</v>
      </c>
      <c r="K972" s="727"/>
      <c r="L972" s="732">
        <v>0</v>
      </c>
      <c r="M972" s="727">
        <f t="shared" si="91"/>
        <v>0</v>
      </c>
      <c r="N972" s="732">
        <v>0</v>
      </c>
      <c r="O972" s="727">
        <f t="shared" si="92"/>
        <v>0</v>
      </c>
      <c r="P972" s="727">
        <f t="shared" si="93"/>
        <v>0</v>
      </c>
      <c r="Q972" s="675"/>
    </row>
    <row r="973" spans="2:17">
      <c r="B973" s="332"/>
      <c r="C973" s="723">
        <f>IF(D956="","-",+C972+1)</f>
        <v>2025</v>
      </c>
      <c r="D973" s="674">
        <f t="shared" si="94"/>
        <v>204390.32902173907</v>
      </c>
      <c r="E973" s="730">
        <f t="shared" si="95"/>
        <v>5825.8526086956517</v>
      </c>
      <c r="F973" s="730">
        <f t="shared" si="88"/>
        <v>198564.47641304342</v>
      </c>
      <c r="G973" s="674">
        <f t="shared" si="89"/>
        <v>201477.40271739126</v>
      </c>
      <c r="H973" s="724">
        <f>+J957*G973+E973</f>
        <v>26167.704481489269</v>
      </c>
      <c r="I973" s="731">
        <f>+J958*G973+E973</f>
        <v>26167.704481489269</v>
      </c>
      <c r="J973" s="727">
        <f t="shared" si="90"/>
        <v>0</v>
      </c>
      <c r="K973" s="727"/>
      <c r="L973" s="732"/>
      <c r="M973" s="727">
        <f t="shared" si="91"/>
        <v>0</v>
      </c>
      <c r="N973" s="732"/>
      <c r="O973" s="727">
        <f t="shared" si="92"/>
        <v>0</v>
      </c>
      <c r="P973" s="727">
        <f t="shared" si="93"/>
        <v>0</v>
      </c>
      <c r="Q973" s="675"/>
    </row>
    <row r="974" spans="2:17">
      <c r="B974" s="332"/>
      <c r="C974" s="723">
        <f>IF(D956="","-",+C973+1)</f>
        <v>2026</v>
      </c>
      <c r="D974" s="674">
        <f t="shared" si="94"/>
        <v>198564.47641304342</v>
      </c>
      <c r="E974" s="730">
        <f t="shared" si="95"/>
        <v>5825.8526086956517</v>
      </c>
      <c r="F974" s="730">
        <f t="shared" si="88"/>
        <v>192738.62380434776</v>
      </c>
      <c r="G974" s="674">
        <f t="shared" si="89"/>
        <v>195651.55010869558</v>
      </c>
      <c r="H974" s="724">
        <f>+J957*G974+E974</f>
        <v>25579.50635504704</v>
      </c>
      <c r="I974" s="731">
        <f>+J958*G974+E974</f>
        <v>25579.50635504704</v>
      </c>
      <c r="J974" s="727">
        <f t="shared" si="90"/>
        <v>0</v>
      </c>
      <c r="K974" s="727"/>
      <c r="L974" s="732"/>
      <c r="M974" s="727">
        <f t="shared" si="91"/>
        <v>0</v>
      </c>
      <c r="N974" s="732"/>
      <c r="O974" s="727">
        <f t="shared" si="92"/>
        <v>0</v>
      </c>
      <c r="P974" s="727">
        <f t="shared" si="93"/>
        <v>0</v>
      </c>
      <c r="Q974" s="675"/>
    </row>
    <row r="975" spans="2:17">
      <c r="B975" s="332"/>
      <c r="C975" s="723">
        <f>IF(D956="","-",+C974+1)</f>
        <v>2027</v>
      </c>
      <c r="D975" s="674">
        <f t="shared" si="94"/>
        <v>192738.62380434776</v>
      </c>
      <c r="E975" s="730">
        <f t="shared" si="95"/>
        <v>5825.8526086956517</v>
      </c>
      <c r="F975" s="730">
        <f t="shared" si="88"/>
        <v>186912.77119565211</v>
      </c>
      <c r="G975" s="674">
        <f t="shared" si="89"/>
        <v>189825.69749999995</v>
      </c>
      <c r="H975" s="724">
        <f>+J957*G975+E975</f>
        <v>24991.308228604816</v>
      </c>
      <c r="I975" s="731">
        <f>+J958*G975+E975</f>
        <v>24991.308228604816</v>
      </c>
      <c r="J975" s="727">
        <f t="shared" si="90"/>
        <v>0</v>
      </c>
      <c r="K975" s="727"/>
      <c r="L975" s="732"/>
      <c r="M975" s="727">
        <f t="shared" si="91"/>
        <v>0</v>
      </c>
      <c r="N975" s="732"/>
      <c r="O975" s="727">
        <f t="shared" si="92"/>
        <v>0</v>
      </c>
      <c r="P975" s="727">
        <f t="shared" si="93"/>
        <v>0</v>
      </c>
      <c r="Q975" s="675"/>
    </row>
    <row r="976" spans="2:17">
      <c r="B976" s="332"/>
      <c r="C976" s="723">
        <f>IF(D956="","-",+C975+1)</f>
        <v>2028</v>
      </c>
      <c r="D976" s="674">
        <f t="shared" si="94"/>
        <v>186912.77119565211</v>
      </c>
      <c r="E976" s="730">
        <f t="shared" si="95"/>
        <v>5825.8526086956517</v>
      </c>
      <c r="F976" s="730">
        <f t="shared" si="88"/>
        <v>181086.91858695645</v>
      </c>
      <c r="G976" s="674">
        <f t="shared" si="89"/>
        <v>183999.84489130427</v>
      </c>
      <c r="H976" s="724">
        <f>+J957*G976+E976</f>
        <v>24403.110102162587</v>
      </c>
      <c r="I976" s="731">
        <f>+J958*G976+E976</f>
        <v>24403.110102162587</v>
      </c>
      <c r="J976" s="727">
        <f t="shared" si="90"/>
        <v>0</v>
      </c>
      <c r="K976" s="727"/>
      <c r="L976" s="732"/>
      <c r="M976" s="727">
        <f t="shared" si="91"/>
        <v>0</v>
      </c>
      <c r="N976" s="732"/>
      <c r="O976" s="727">
        <f t="shared" si="92"/>
        <v>0</v>
      </c>
      <c r="P976" s="727">
        <f t="shared" si="93"/>
        <v>0</v>
      </c>
      <c r="Q976" s="675"/>
    </row>
    <row r="977" spans="2:17">
      <c r="B977" s="332"/>
      <c r="C977" s="723">
        <f>IF(D956="","-",+C976+1)</f>
        <v>2029</v>
      </c>
      <c r="D977" s="674">
        <f t="shared" si="94"/>
        <v>181086.91858695645</v>
      </c>
      <c r="E977" s="730">
        <f t="shared" si="95"/>
        <v>5825.8526086956517</v>
      </c>
      <c r="F977" s="730">
        <f t="shared" si="88"/>
        <v>175261.0659782608</v>
      </c>
      <c r="G977" s="674">
        <f t="shared" si="89"/>
        <v>178173.99228260864</v>
      </c>
      <c r="H977" s="724">
        <f>+J957*G977+E977</f>
        <v>23814.911975720366</v>
      </c>
      <c r="I977" s="731">
        <f>+J958*G977+E977</f>
        <v>23814.911975720366</v>
      </c>
      <c r="J977" s="727">
        <f t="shared" si="90"/>
        <v>0</v>
      </c>
      <c r="K977" s="727"/>
      <c r="L977" s="732"/>
      <c r="M977" s="727">
        <f t="shared" si="91"/>
        <v>0</v>
      </c>
      <c r="N977" s="732"/>
      <c r="O977" s="727">
        <f t="shared" si="92"/>
        <v>0</v>
      </c>
      <c r="P977" s="727">
        <f t="shared" si="93"/>
        <v>0</v>
      </c>
      <c r="Q977" s="675"/>
    </row>
    <row r="978" spans="2:17">
      <c r="B978" s="332"/>
      <c r="C978" s="723">
        <f>IF(D956="","-",+C977+1)</f>
        <v>2030</v>
      </c>
      <c r="D978" s="674">
        <f t="shared" si="94"/>
        <v>175261.0659782608</v>
      </c>
      <c r="E978" s="730">
        <f t="shared" si="95"/>
        <v>5825.8526086956517</v>
      </c>
      <c r="F978" s="730">
        <f t="shared" si="88"/>
        <v>169435.21336956514</v>
      </c>
      <c r="G978" s="674">
        <f t="shared" si="89"/>
        <v>172348.13967391296</v>
      </c>
      <c r="H978" s="724">
        <f>+J957*G978+E978</f>
        <v>23226.713849278138</v>
      </c>
      <c r="I978" s="731">
        <f>+J958*G978+E978</f>
        <v>23226.713849278138</v>
      </c>
      <c r="J978" s="727">
        <f t="shared" si="90"/>
        <v>0</v>
      </c>
      <c r="K978" s="727"/>
      <c r="L978" s="732"/>
      <c r="M978" s="727">
        <f t="shared" si="91"/>
        <v>0</v>
      </c>
      <c r="N978" s="732"/>
      <c r="O978" s="727">
        <f t="shared" si="92"/>
        <v>0</v>
      </c>
      <c r="P978" s="727">
        <f t="shared" si="93"/>
        <v>0</v>
      </c>
      <c r="Q978" s="675"/>
    </row>
    <row r="979" spans="2:17">
      <c r="B979" s="332"/>
      <c r="C979" s="723">
        <f>IF(D956="","-",+C978+1)</f>
        <v>2031</v>
      </c>
      <c r="D979" s="674">
        <f t="shared" si="94"/>
        <v>169435.21336956514</v>
      </c>
      <c r="E979" s="730">
        <f t="shared" si="95"/>
        <v>5825.8526086956517</v>
      </c>
      <c r="F979" s="730">
        <f t="shared" si="88"/>
        <v>163609.36076086949</v>
      </c>
      <c r="G979" s="674">
        <f t="shared" si="89"/>
        <v>166522.28706521733</v>
      </c>
      <c r="H979" s="724">
        <f>+J957*G979+E979</f>
        <v>22638.515722835913</v>
      </c>
      <c r="I979" s="731">
        <f>+J958*G979+E979</f>
        <v>22638.515722835913</v>
      </c>
      <c r="J979" s="727">
        <f t="shared" si="90"/>
        <v>0</v>
      </c>
      <c r="K979" s="727"/>
      <c r="L979" s="732"/>
      <c r="M979" s="727">
        <f t="shared" si="91"/>
        <v>0</v>
      </c>
      <c r="N979" s="732"/>
      <c r="O979" s="727">
        <f t="shared" si="92"/>
        <v>0</v>
      </c>
      <c r="P979" s="727">
        <f t="shared" si="93"/>
        <v>0</v>
      </c>
      <c r="Q979" s="675"/>
    </row>
    <row r="980" spans="2:17">
      <c r="B980" s="332"/>
      <c r="C980" s="723">
        <f>IF(D956="","-",+C979+1)</f>
        <v>2032</v>
      </c>
      <c r="D980" s="674">
        <f t="shared" si="94"/>
        <v>163609.36076086949</v>
      </c>
      <c r="E980" s="730">
        <f t="shared" si="95"/>
        <v>5825.8526086956517</v>
      </c>
      <c r="F980" s="730">
        <f t="shared" si="88"/>
        <v>157783.50815217383</v>
      </c>
      <c r="G980" s="674">
        <f t="shared" si="89"/>
        <v>160696.43445652165</v>
      </c>
      <c r="H980" s="724">
        <f>+J957*G980+E980</f>
        <v>22050.317596393688</v>
      </c>
      <c r="I980" s="731">
        <f>+J958*G980+E980</f>
        <v>22050.317596393688</v>
      </c>
      <c r="J980" s="727">
        <f t="shared" si="90"/>
        <v>0</v>
      </c>
      <c r="K980" s="727"/>
      <c r="L980" s="732"/>
      <c r="M980" s="727">
        <f t="shared" si="91"/>
        <v>0</v>
      </c>
      <c r="N980" s="732"/>
      <c r="O980" s="727">
        <f t="shared" si="92"/>
        <v>0</v>
      </c>
      <c r="P980" s="727">
        <f t="shared" si="93"/>
        <v>0</v>
      </c>
      <c r="Q980" s="675"/>
    </row>
    <row r="981" spans="2:17">
      <c r="B981" s="332"/>
      <c r="C981" s="723">
        <f>IF(D956="","-",+C980+1)</f>
        <v>2033</v>
      </c>
      <c r="D981" s="674">
        <f t="shared" si="94"/>
        <v>157783.50815217383</v>
      </c>
      <c r="E981" s="730">
        <f t="shared" si="95"/>
        <v>5825.8526086956517</v>
      </c>
      <c r="F981" s="730">
        <f t="shared" si="88"/>
        <v>151957.65554347818</v>
      </c>
      <c r="G981" s="674">
        <f t="shared" si="89"/>
        <v>154870.58184782602</v>
      </c>
      <c r="H981" s="724">
        <f>+J957*G981+E981</f>
        <v>21462.119469951464</v>
      </c>
      <c r="I981" s="731">
        <f>+J958*G981+E981</f>
        <v>21462.119469951464</v>
      </c>
      <c r="J981" s="727">
        <f t="shared" si="90"/>
        <v>0</v>
      </c>
      <c r="K981" s="727"/>
      <c r="L981" s="732"/>
      <c r="M981" s="727">
        <f t="shared" si="91"/>
        <v>0</v>
      </c>
      <c r="N981" s="732"/>
      <c r="O981" s="727">
        <f t="shared" si="92"/>
        <v>0</v>
      </c>
      <c r="P981" s="727">
        <f t="shared" si="93"/>
        <v>0</v>
      </c>
      <c r="Q981" s="675"/>
    </row>
    <row r="982" spans="2:17">
      <c r="B982" s="332"/>
      <c r="C982" s="723">
        <f>IF(D956="","-",+C981+1)</f>
        <v>2034</v>
      </c>
      <c r="D982" s="674">
        <f t="shared" si="94"/>
        <v>151957.65554347818</v>
      </c>
      <c r="E982" s="730">
        <f t="shared" si="95"/>
        <v>5825.8526086956517</v>
      </c>
      <c r="F982" s="730">
        <f t="shared" si="88"/>
        <v>146131.80293478252</v>
      </c>
      <c r="G982" s="674">
        <f t="shared" si="89"/>
        <v>149044.72923913033</v>
      </c>
      <c r="H982" s="724">
        <f>+J957*G982+E982</f>
        <v>20873.921343509235</v>
      </c>
      <c r="I982" s="731">
        <f>+J958*G982+E982</f>
        <v>20873.921343509235</v>
      </c>
      <c r="J982" s="727">
        <f t="shared" si="90"/>
        <v>0</v>
      </c>
      <c r="K982" s="727"/>
      <c r="L982" s="732"/>
      <c r="M982" s="727">
        <f t="shared" si="91"/>
        <v>0</v>
      </c>
      <c r="N982" s="732"/>
      <c r="O982" s="727">
        <f t="shared" si="92"/>
        <v>0</v>
      </c>
      <c r="P982" s="727">
        <f t="shared" si="93"/>
        <v>0</v>
      </c>
      <c r="Q982" s="675"/>
    </row>
    <row r="983" spans="2:17">
      <c r="B983" s="332"/>
      <c r="C983" s="723">
        <f>IF(D956="","-",+C982+1)</f>
        <v>2035</v>
      </c>
      <c r="D983" s="674">
        <f t="shared" si="94"/>
        <v>146131.80293478252</v>
      </c>
      <c r="E983" s="730">
        <f t="shared" si="95"/>
        <v>5825.8526086956517</v>
      </c>
      <c r="F983" s="730">
        <f t="shared" si="88"/>
        <v>140305.95032608687</v>
      </c>
      <c r="G983" s="674">
        <f t="shared" si="89"/>
        <v>143218.87663043471</v>
      </c>
      <c r="H983" s="724">
        <f>+J957*G983+E983</f>
        <v>20285.72321706701</v>
      </c>
      <c r="I983" s="731">
        <f>+J958*G983+E983</f>
        <v>20285.72321706701</v>
      </c>
      <c r="J983" s="727">
        <f t="shared" si="90"/>
        <v>0</v>
      </c>
      <c r="K983" s="727"/>
      <c r="L983" s="732"/>
      <c r="M983" s="727">
        <f t="shared" si="91"/>
        <v>0</v>
      </c>
      <c r="N983" s="732"/>
      <c r="O983" s="727">
        <f t="shared" si="92"/>
        <v>0</v>
      </c>
      <c r="P983" s="727">
        <f t="shared" si="93"/>
        <v>0</v>
      </c>
      <c r="Q983" s="675"/>
    </row>
    <row r="984" spans="2:17">
      <c r="B984" s="332"/>
      <c r="C984" s="723">
        <f>IF(D956="","-",+C983+1)</f>
        <v>2036</v>
      </c>
      <c r="D984" s="674">
        <f t="shared" si="94"/>
        <v>140305.95032608687</v>
      </c>
      <c r="E984" s="730">
        <f t="shared" si="95"/>
        <v>5825.8526086956517</v>
      </c>
      <c r="F984" s="730">
        <f t="shared" si="88"/>
        <v>134480.09771739121</v>
      </c>
      <c r="G984" s="674">
        <f t="shared" si="89"/>
        <v>137393.02402173902</v>
      </c>
      <c r="H984" s="724">
        <f>+J957*G984+E984</f>
        <v>19697.525090624782</v>
      </c>
      <c r="I984" s="731">
        <f>+J958*G984+E984</f>
        <v>19697.525090624782</v>
      </c>
      <c r="J984" s="727">
        <f t="shared" si="90"/>
        <v>0</v>
      </c>
      <c r="K984" s="727"/>
      <c r="L984" s="732"/>
      <c r="M984" s="727">
        <f t="shared" si="91"/>
        <v>0</v>
      </c>
      <c r="N984" s="732"/>
      <c r="O984" s="727">
        <f t="shared" si="92"/>
        <v>0</v>
      </c>
      <c r="P984" s="727">
        <f t="shared" si="93"/>
        <v>0</v>
      </c>
      <c r="Q984" s="675"/>
    </row>
    <row r="985" spans="2:17">
      <c r="B985" s="332"/>
      <c r="C985" s="723">
        <f>IF(D956="","-",+C984+1)</f>
        <v>2037</v>
      </c>
      <c r="D985" s="674">
        <f t="shared" si="94"/>
        <v>134480.09771739121</v>
      </c>
      <c r="E985" s="730">
        <f t="shared" si="95"/>
        <v>5825.8526086956517</v>
      </c>
      <c r="F985" s="730">
        <f t="shared" si="88"/>
        <v>128654.24510869556</v>
      </c>
      <c r="G985" s="674">
        <f t="shared" si="89"/>
        <v>131567.1714130434</v>
      </c>
      <c r="H985" s="724">
        <f>+J957*G985+E985</f>
        <v>19109.326964182561</v>
      </c>
      <c r="I985" s="731">
        <f>+J958*G985+E985</f>
        <v>19109.326964182561</v>
      </c>
      <c r="J985" s="727">
        <f t="shared" si="90"/>
        <v>0</v>
      </c>
      <c r="K985" s="727"/>
      <c r="L985" s="732"/>
      <c r="M985" s="727">
        <f t="shared" si="91"/>
        <v>0</v>
      </c>
      <c r="N985" s="732"/>
      <c r="O985" s="727">
        <f t="shared" si="92"/>
        <v>0</v>
      </c>
      <c r="P985" s="727">
        <f t="shared" si="93"/>
        <v>0</v>
      </c>
      <c r="Q985" s="675"/>
    </row>
    <row r="986" spans="2:17">
      <c r="B986" s="332"/>
      <c r="C986" s="723">
        <f>IF(D956="","-",+C985+1)</f>
        <v>2038</v>
      </c>
      <c r="D986" s="674">
        <f t="shared" si="94"/>
        <v>128654.24510869556</v>
      </c>
      <c r="E986" s="730">
        <f t="shared" si="95"/>
        <v>5825.8526086956517</v>
      </c>
      <c r="F986" s="730">
        <f t="shared" si="88"/>
        <v>122828.3924999999</v>
      </c>
      <c r="G986" s="674">
        <f t="shared" si="89"/>
        <v>125741.31880434773</v>
      </c>
      <c r="H986" s="724">
        <f>+J957*G986+E986</f>
        <v>18521.128837740333</v>
      </c>
      <c r="I986" s="731">
        <f>+J958*G986+E986</f>
        <v>18521.128837740333</v>
      </c>
      <c r="J986" s="727">
        <f t="shared" si="90"/>
        <v>0</v>
      </c>
      <c r="K986" s="727"/>
      <c r="L986" s="732"/>
      <c r="M986" s="727">
        <f t="shared" si="91"/>
        <v>0</v>
      </c>
      <c r="N986" s="732"/>
      <c r="O986" s="727">
        <f t="shared" si="92"/>
        <v>0</v>
      </c>
      <c r="P986" s="727">
        <f t="shared" si="93"/>
        <v>0</v>
      </c>
      <c r="Q986" s="675"/>
    </row>
    <row r="987" spans="2:17">
      <c r="B987" s="332"/>
      <c r="C987" s="723">
        <f>IF(D956="","-",+C986+1)</f>
        <v>2039</v>
      </c>
      <c r="D987" s="674">
        <f t="shared" si="94"/>
        <v>122828.3924999999</v>
      </c>
      <c r="E987" s="730">
        <f t="shared" si="95"/>
        <v>5825.8526086956517</v>
      </c>
      <c r="F987" s="730">
        <f t="shared" si="88"/>
        <v>117002.53989130424</v>
      </c>
      <c r="G987" s="674">
        <f t="shared" si="89"/>
        <v>119915.46619565207</v>
      </c>
      <c r="H987" s="724">
        <f>+J957*G987+E987</f>
        <v>17932.930711298111</v>
      </c>
      <c r="I987" s="731">
        <f>+J958*G987+E987</f>
        <v>17932.930711298111</v>
      </c>
      <c r="J987" s="727">
        <f t="shared" si="90"/>
        <v>0</v>
      </c>
      <c r="K987" s="727"/>
      <c r="L987" s="732"/>
      <c r="M987" s="727">
        <f t="shared" si="91"/>
        <v>0</v>
      </c>
      <c r="N987" s="732"/>
      <c r="O987" s="727">
        <f t="shared" si="92"/>
        <v>0</v>
      </c>
      <c r="P987" s="727">
        <f t="shared" si="93"/>
        <v>0</v>
      </c>
      <c r="Q987" s="675"/>
    </row>
    <row r="988" spans="2:17">
      <c r="B988" s="332"/>
      <c r="C988" s="723">
        <f>IF(D956="","-",+C987+1)</f>
        <v>2040</v>
      </c>
      <c r="D988" s="674">
        <f t="shared" si="94"/>
        <v>117002.53989130424</v>
      </c>
      <c r="E988" s="730">
        <f t="shared" si="95"/>
        <v>5825.8526086956517</v>
      </c>
      <c r="F988" s="730">
        <f t="shared" si="88"/>
        <v>111176.68728260859</v>
      </c>
      <c r="G988" s="674">
        <f t="shared" si="89"/>
        <v>114089.61358695642</v>
      </c>
      <c r="H988" s="724">
        <f>+J957*G988+E988</f>
        <v>17344.732584855883</v>
      </c>
      <c r="I988" s="731">
        <f>+J958*G988+E988</f>
        <v>17344.732584855883</v>
      </c>
      <c r="J988" s="727">
        <f t="shared" si="90"/>
        <v>0</v>
      </c>
      <c r="K988" s="727"/>
      <c r="L988" s="732"/>
      <c r="M988" s="727">
        <f t="shared" si="91"/>
        <v>0</v>
      </c>
      <c r="N988" s="732"/>
      <c r="O988" s="727">
        <f t="shared" si="92"/>
        <v>0</v>
      </c>
      <c r="P988" s="727">
        <f t="shared" si="93"/>
        <v>0</v>
      </c>
      <c r="Q988" s="675"/>
    </row>
    <row r="989" spans="2:17">
      <c r="B989" s="332"/>
      <c r="C989" s="723">
        <f>IF(D956="","-",+C988+1)</f>
        <v>2041</v>
      </c>
      <c r="D989" s="674">
        <f t="shared" si="94"/>
        <v>111176.68728260859</v>
      </c>
      <c r="E989" s="730">
        <f t="shared" si="95"/>
        <v>5825.8526086956517</v>
      </c>
      <c r="F989" s="730">
        <f t="shared" si="88"/>
        <v>105350.83467391293</v>
      </c>
      <c r="G989" s="674">
        <f t="shared" si="89"/>
        <v>108263.76097826076</v>
      </c>
      <c r="H989" s="724">
        <f>+J957*G989+E989</f>
        <v>16756.534458413658</v>
      </c>
      <c r="I989" s="731">
        <f>+J958*G989+E989</f>
        <v>16756.534458413658</v>
      </c>
      <c r="J989" s="727">
        <f t="shared" si="90"/>
        <v>0</v>
      </c>
      <c r="K989" s="727"/>
      <c r="L989" s="732"/>
      <c r="M989" s="727">
        <f t="shared" si="91"/>
        <v>0</v>
      </c>
      <c r="N989" s="732"/>
      <c r="O989" s="727">
        <f t="shared" si="92"/>
        <v>0</v>
      </c>
      <c r="P989" s="727">
        <f t="shared" si="93"/>
        <v>0</v>
      </c>
      <c r="Q989" s="675"/>
    </row>
    <row r="990" spans="2:17">
      <c r="B990" s="332"/>
      <c r="C990" s="723">
        <f>IF(D956="","-",+C989+1)</f>
        <v>2042</v>
      </c>
      <c r="D990" s="674">
        <f t="shared" si="94"/>
        <v>105350.83467391293</v>
      </c>
      <c r="E990" s="730">
        <f t="shared" si="95"/>
        <v>5825.8526086956517</v>
      </c>
      <c r="F990" s="730">
        <f t="shared" si="88"/>
        <v>99524.982065217278</v>
      </c>
      <c r="G990" s="674">
        <f t="shared" si="89"/>
        <v>102437.90836956511</v>
      </c>
      <c r="H990" s="724">
        <f>+J957*G990+E990</f>
        <v>16168.336331971434</v>
      </c>
      <c r="I990" s="731">
        <f>+J958*G990+E990</f>
        <v>16168.336331971434</v>
      </c>
      <c r="J990" s="727">
        <f t="shared" si="90"/>
        <v>0</v>
      </c>
      <c r="K990" s="727"/>
      <c r="L990" s="732"/>
      <c r="M990" s="727">
        <f t="shared" si="91"/>
        <v>0</v>
      </c>
      <c r="N990" s="732"/>
      <c r="O990" s="727">
        <f t="shared" si="92"/>
        <v>0</v>
      </c>
      <c r="P990" s="727">
        <f t="shared" si="93"/>
        <v>0</v>
      </c>
      <c r="Q990" s="675"/>
    </row>
    <row r="991" spans="2:17">
      <c r="B991" s="332"/>
      <c r="C991" s="723">
        <f>IF(D956="","-",+C990+1)</f>
        <v>2043</v>
      </c>
      <c r="D991" s="674">
        <f t="shared" si="94"/>
        <v>99524.982065217278</v>
      </c>
      <c r="E991" s="730">
        <f t="shared" si="95"/>
        <v>5825.8526086956517</v>
      </c>
      <c r="F991" s="730">
        <f t="shared" si="88"/>
        <v>93699.129456521623</v>
      </c>
      <c r="G991" s="674">
        <f t="shared" si="89"/>
        <v>96612.055760869451</v>
      </c>
      <c r="H991" s="724">
        <f>+J957*G991+E991</f>
        <v>15580.138205529207</v>
      </c>
      <c r="I991" s="731">
        <f>+J958*G991+E991</f>
        <v>15580.138205529207</v>
      </c>
      <c r="J991" s="727">
        <f t="shared" si="90"/>
        <v>0</v>
      </c>
      <c r="K991" s="727"/>
      <c r="L991" s="732"/>
      <c r="M991" s="727">
        <f t="shared" si="91"/>
        <v>0</v>
      </c>
      <c r="N991" s="732"/>
      <c r="O991" s="727">
        <f t="shared" si="92"/>
        <v>0</v>
      </c>
      <c r="P991" s="727">
        <f t="shared" si="93"/>
        <v>0</v>
      </c>
      <c r="Q991" s="675"/>
    </row>
    <row r="992" spans="2:17">
      <c r="B992" s="332"/>
      <c r="C992" s="723">
        <f>IF(D956="","-",+C991+1)</f>
        <v>2044</v>
      </c>
      <c r="D992" s="674">
        <f t="shared" si="94"/>
        <v>93699.129456521623</v>
      </c>
      <c r="E992" s="730">
        <f t="shared" si="95"/>
        <v>5825.8526086956517</v>
      </c>
      <c r="F992" s="730">
        <f t="shared" si="88"/>
        <v>87873.276847825968</v>
      </c>
      <c r="G992" s="674">
        <f t="shared" si="89"/>
        <v>90786.203152173795</v>
      </c>
      <c r="H992" s="724">
        <f>+J957*G992+E992</f>
        <v>14991.940079086982</v>
      </c>
      <c r="I992" s="731">
        <f>+J958*G992+E992</f>
        <v>14991.940079086982</v>
      </c>
      <c r="J992" s="727">
        <f t="shared" si="90"/>
        <v>0</v>
      </c>
      <c r="K992" s="727"/>
      <c r="L992" s="732"/>
      <c r="M992" s="727">
        <f t="shared" si="91"/>
        <v>0</v>
      </c>
      <c r="N992" s="732"/>
      <c r="O992" s="727">
        <f t="shared" si="92"/>
        <v>0</v>
      </c>
      <c r="P992" s="727">
        <f t="shared" si="93"/>
        <v>0</v>
      </c>
      <c r="Q992" s="675"/>
    </row>
    <row r="993" spans="2:17">
      <c r="B993" s="332"/>
      <c r="C993" s="723">
        <f>IF(D956="","-",+C992+1)</f>
        <v>2045</v>
      </c>
      <c r="D993" s="674">
        <f t="shared" si="94"/>
        <v>87873.276847825968</v>
      </c>
      <c r="E993" s="730">
        <f t="shared" si="95"/>
        <v>5825.8526086956517</v>
      </c>
      <c r="F993" s="730">
        <f t="shared" si="88"/>
        <v>82047.424239130312</v>
      </c>
      <c r="G993" s="674">
        <f t="shared" si="89"/>
        <v>84960.35054347814</v>
      </c>
      <c r="H993" s="724">
        <f>+J957*G993+E993</f>
        <v>14403.741952644756</v>
      </c>
      <c r="I993" s="731">
        <f>+J958*G993+E993</f>
        <v>14403.741952644756</v>
      </c>
      <c r="J993" s="727">
        <f t="shared" si="90"/>
        <v>0</v>
      </c>
      <c r="K993" s="727"/>
      <c r="L993" s="732"/>
      <c r="M993" s="727">
        <f t="shared" si="91"/>
        <v>0</v>
      </c>
      <c r="N993" s="732"/>
      <c r="O993" s="727">
        <f t="shared" si="92"/>
        <v>0</v>
      </c>
      <c r="P993" s="727">
        <f t="shared" si="93"/>
        <v>0</v>
      </c>
      <c r="Q993" s="675"/>
    </row>
    <row r="994" spans="2:17">
      <c r="B994" s="332"/>
      <c r="C994" s="723">
        <f>IF(D956="","-",+C993+1)</f>
        <v>2046</v>
      </c>
      <c r="D994" s="674">
        <f t="shared" si="94"/>
        <v>82047.424239130312</v>
      </c>
      <c r="E994" s="730">
        <f t="shared" si="95"/>
        <v>5825.8526086956517</v>
      </c>
      <c r="F994" s="730">
        <f t="shared" si="88"/>
        <v>76221.571630434657</v>
      </c>
      <c r="G994" s="674">
        <f t="shared" si="89"/>
        <v>79134.497934782485</v>
      </c>
      <c r="H994" s="724">
        <f>+J957*G994+E994</f>
        <v>13815.543826202531</v>
      </c>
      <c r="I994" s="731">
        <f>+J958*G994+E994</f>
        <v>13815.543826202531</v>
      </c>
      <c r="J994" s="727">
        <f t="shared" si="90"/>
        <v>0</v>
      </c>
      <c r="K994" s="727"/>
      <c r="L994" s="732"/>
      <c r="M994" s="727">
        <f t="shared" si="91"/>
        <v>0</v>
      </c>
      <c r="N994" s="732"/>
      <c r="O994" s="727">
        <f t="shared" si="92"/>
        <v>0</v>
      </c>
      <c r="P994" s="727">
        <f t="shared" si="93"/>
        <v>0</v>
      </c>
      <c r="Q994" s="675"/>
    </row>
    <row r="995" spans="2:17">
      <c r="B995" s="332"/>
      <c r="C995" s="723">
        <f>IF(D956="","-",+C994+1)</f>
        <v>2047</v>
      </c>
      <c r="D995" s="674">
        <f t="shared" si="94"/>
        <v>76221.571630434657</v>
      </c>
      <c r="E995" s="730">
        <f t="shared" si="95"/>
        <v>5825.8526086956517</v>
      </c>
      <c r="F995" s="730">
        <f t="shared" si="88"/>
        <v>70395.719021739002</v>
      </c>
      <c r="G995" s="674">
        <f t="shared" si="89"/>
        <v>73308.645326086829</v>
      </c>
      <c r="H995" s="724">
        <f>+J957*G995+E995</f>
        <v>13227.345699760306</v>
      </c>
      <c r="I995" s="731">
        <f>+J958*G995+E995</f>
        <v>13227.345699760306</v>
      </c>
      <c r="J995" s="727">
        <f t="shared" si="90"/>
        <v>0</v>
      </c>
      <c r="K995" s="727"/>
      <c r="L995" s="732"/>
      <c r="M995" s="727">
        <f t="shared" si="91"/>
        <v>0</v>
      </c>
      <c r="N995" s="732"/>
      <c r="O995" s="727">
        <f t="shared" si="92"/>
        <v>0</v>
      </c>
      <c r="P995" s="727">
        <f t="shared" si="93"/>
        <v>0</v>
      </c>
      <c r="Q995" s="675"/>
    </row>
    <row r="996" spans="2:17">
      <c r="B996" s="332"/>
      <c r="C996" s="723">
        <f>IF(D956="","-",+C995+1)</f>
        <v>2048</v>
      </c>
      <c r="D996" s="674">
        <f t="shared" si="94"/>
        <v>70395.719021739002</v>
      </c>
      <c r="E996" s="730">
        <f t="shared" si="95"/>
        <v>5825.8526086956517</v>
      </c>
      <c r="F996" s="730">
        <f t="shared" si="88"/>
        <v>64569.866413043346</v>
      </c>
      <c r="G996" s="674">
        <f t="shared" si="89"/>
        <v>67482.792717391174</v>
      </c>
      <c r="H996" s="724">
        <f>+J957*G996+E996</f>
        <v>12639.14757331808</v>
      </c>
      <c r="I996" s="731">
        <f>+J958*G996+E996</f>
        <v>12639.14757331808</v>
      </c>
      <c r="J996" s="727">
        <f t="shared" si="90"/>
        <v>0</v>
      </c>
      <c r="K996" s="727"/>
      <c r="L996" s="732"/>
      <c r="M996" s="727">
        <f t="shared" si="91"/>
        <v>0</v>
      </c>
      <c r="N996" s="732"/>
      <c r="O996" s="727">
        <f t="shared" si="92"/>
        <v>0</v>
      </c>
      <c r="P996" s="727">
        <f t="shared" si="93"/>
        <v>0</v>
      </c>
      <c r="Q996" s="675"/>
    </row>
    <row r="997" spans="2:17">
      <c r="B997" s="332"/>
      <c r="C997" s="723">
        <f>IF(D956="","-",+C996+1)</f>
        <v>2049</v>
      </c>
      <c r="D997" s="674">
        <f t="shared" si="94"/>
        <v>64569.866413043346</v>
      </c>
      <c r="E997" s="730">
        <f t="shared" si="95"/>
        <v>5825.8526086956517</v>
      </c>
      <c r="F997" s="730">
        <f t="shared" si="88"/>
        <v>58744.013804347691</v>
      </c>
      <c r="G997" s="674">
        <f t="shared" si="89"/>
        <v>61656.940108695519</v>
      </c>
      <c r="H997" s="724">
        <f>+J957*G997+E997</f>
        <v>12050.949446875855</v>
      </c>
      <c r="I997" s="731">
        <f>+J958*G997+E997</f>
        <v>12050.949446875855</v>
      </c>
      <c r="J997" s="727">
        <f t="shared" si="90"/>
        <v>0</v>
      </c>
      <c r="K997" s="727"/>
      <c r="L997" s="732"/>
      <c r="M997" s="727">
        <f t="shared" si="91"/>
        <v>0</v>
      </c>
      <c r="N997" s="732"/>
      <c r="O997" s="727">
        <f t="shared" si="92"/>
        <v>0</v>
      </c>
      <c r="P997" s="727">
        <f t="shared" si="93"/>
        <v>0</v>
      </c>
      <c r="Q997" s="675"/>
    </row>
    <row r="998" spans="2:17">
      <c r="B998" s="332"/>
      <c r="C998" s="723">
        <f>IF(D956="","-",+C997+1)</f>
        <v>2050</v>
      </c>
      <c r="D998" s="674">
        <f t="shared" si="94"/>
        <v>58744.013804347691</v>
      </c>
      <c r="E998" s="730">
        <f t="shared" si="95"/>
        <v>5825.8526086956517</v>
      </c>
      <c r="F998" s="730">
        <f t="shared" si="88"/>
        <v>52918.161195652036</v>
      </c>
      <c r="G998" s="674">
        <f t="shared" si="89"/>
        <v>55831.087499999863</v>
      </c>
      <c r="H998" s="724">
        <f>+J957*G998+E998</f>
        <v>11462.751320433628</v>
      </c>
      <c r="I998" s="731">
        <f>+J958*G998+E998</f>
        <v>11462.751320433628</v>
      </c>
      <c r="J998" s="727">
        <f t="shared" si="90"/>
        <v>0</v>
      </c>
      <c r="K998" s="727"/>
      <c r="L998" s="732"/>
      <c r="M998" s="727">
        <f t="shared" si="91"/>
        <v>0</v>
      </c>
      <c r="N998" s="732"/>
      <c r="O998" s="727">
        <f t="shared" si="92"/>
        <v>0</v>
      </c>
      <c r="P998" s="727">
        <f t="shared" si="93"/>
        <v>0</v>
      </c>
      <c r="Q998" s="675"/>
    </row>
    <row r="999" spans="2:17">
      <c r="B999" s="332"/>
      <c r="C999" s="723">
        <f>IF(D956="","-",+C998+1)</f>
        <v>2051</v>
      </c>
      <c r="D999" s="674">
        <f t="shared" si="94"/>
        <v>52918.161195652036</v>
      </c>
      <c r="E999" s="730">
        <f t="shared" si="95"/>
        <v>5825.8526086956517</v>
      </c>
      <c r="F999" s="730">
        <f t="shared" si="88"/>
        <v>47092.30858695638</v>
      </c>
      <c r="G999" s="674">
        <f t="shared" si="89"/>
        <v>50005.234891304208</v>
      </c>
      <c r="H999" s="724">
        <f>+J957*G999+E999</f>
        <v>10874.553193991404</v>
      </c>
      <c r="I999" s="731">
        <f>+J958*G999+E999</f>
        <v>10874.553193991404</v>
      </c>
      <c r="J999" s="727">
        <f t="shared" si="90"/>
        <v>0</v>
      </c>
      <c r="K999" s="727"/>
      <c r="L999" s="732"/>
      <c r="M999" s="727">
        <f t="shared" si="91"/>
        <v>0</v>
      </c>
      <c r="N999" s="732"/>
      <c r="O999" s="727">
        <f t="shared" si="92"/>
        <v>0</v>
      </c>
      <c r="P999" s="727">
        <f t="shared" si="93"/>
        <v>0</v>
      </c>
      <c r="Q999" s="675"/>
    </row>
    <row r="1000" spans="2:17">
      <c r="B1000" s="332"/>
      <c r="C1000" s="723">
        <f>IF(D956="","-",+C999+1)</f>
        <v>2052</v>
      </c>
      <c r="D1000" s="674">
        <f t="shared" si="94"/>
        <v>47092.30858695638</v>
      </c>
      <c r="E1000" s="730">
        <f t="shared" si="95"/>
        <v>5825.8526086956517</v>
      </c>
      <c r="F1000" s="730">
        <f t="shared" si="88"/>
        <v>41266.455978260725</v>
      </c>
      <c r="G1000" s="674">
        <f t="shared" si="89"/>
        <v>44179.382282608552</v>
      </c>
      <c r="H1000" s="724">
        <f>+J957*G1000+E1000</f>
        <v>10286.355067549179</v>
      </c>
      <c r="I1000" s="731">
        <f>+J958*G1000+E1000</f>
        <v>10286.355067549179</v>
      </c>
      <c r="J1000" s="727">
        <f t="shared" si="90"/>
        <v>0</v>
      </c>
      <c r="K1000" s="727"/>
      <c r="L1000" s="732"/>
      <c r="M1000" s="727">
        <f t="shared" si="91"/>
        <v>0</v>
      </c>
      <c r="N1000" s="732"/>
      <c r="O1000" s="727">
        <f t="shared" si="92"/>
        <v>0</v>
      </c>
      <c r="P1000" s="727">
        <f t="shared" si="93"/>
        <v>0</v>
      </c>
      <c r="Q1000" s="675"/>
    </row>
    <row r="1001" spans="2:17">
      <c r="B1001" s="332"/>
      <c r="C1001" s="723">
        <f>IF(D956="","-",+C1000+1)</f>
        <v>2053</v>
      </c>
      <c r="D1001" s="674">
        <f t="shared" si="94"/>
        <v>41266.455978260725</v>
      </c>
      <c r="E1001" s="730">
        <f t="shared" si="95"/>
        <v>5825.8526086956517</v>
      </c>
      <c r="F1001" s="730">
        <f t="shared" si="88"/>
        <v>35440.603369565069</v>
      </c>
      <c r="G1001" s="674">
        <f t="shared" si="89"/>
        <v>38353.529673912897</v>
      </c>
      <c r="H1001" s="724">
        <f>+J957*G1001+E1001</f>
        <v>9698.1569411069522</v>
      </c>
      <c r="I1001" s="731">
        <f>+J958*G1001+E1001</f>
        <v>9698.1569411069522</v>
      </c>
      <c r="J1001" s="727">
        <f t="shared" si="90"/>
        <v>0</v>
      </c>
      <c r="K1001" s="727"/>
      <c r="L1001" s="732"/>
      <c r="M1001" s="727">
        <f t="shared" si="91"/>
        <v>0</v>
      </c>
      <c r="N1001" s="732"/>
      <c r="O1001" s="727">
        <f t="shared" si="92"/>
        <v>0</v>
      </c>
      <c r="P1001" s="727">
        <f t="shared" si="93"/>
        <v>0</v>
      </c>
      <c r="Q1001" s="675"/>
    </row>
    <row r="1002" spans="2:17">
      <c r="B1002" s="332"/>
      <c r="C1002" s="723">
        <f>IF(D956="","-",+C1001+1)</f>
        <v>2054</v>
      </c>
      <c r="D1002" s="674">
        <f t="shared" si="94"/>
        <v>35440.603369565069</v>
      </c>
      <c r="E1002" s="730">
        <f t="shared" si="95"/>
        <v>5825.8526086956517</v>
      </c>
      <c r="F1002" s="730">
        <f t="shared" si="88"/>
        <v>29614.750760869418</v>
      </c>
      <c r="G1002" s="674">
        <f t="shared" si="89"/>
        <v>32527.677065217242</v>
      </c>
      <c r="H1002" s="724">
        <f>+J957*G1002+E1002</f>
        <v>9109.9588146647275</v>
      </c>
      <c r="I1002" s="731">
        <f>+J958*G1002+E1002</f>
        <v>9109.9588146647275</v>
      </c>
      <c r="J1002" s="727">
        <f t="shared" si="90"/>
        <v>0</v>
      </c>
      <c r="K1002" s="727"/>
      <c r="L1002" s="732"/>
      <c r="M1002" s="727">
        <f t="shared" si="91"/>
        <v>0</v>
      </c>
      <c r="N1002" s="732"/>
      <c r="O1002" s="727">
        <f t="shared" si="92"/>
        <v>0</v>
      </c>
      <c r="P1002" s="727">
        <f t="shared" si="93"/>
        <v>0</v>
      </c>
      <c r="Q1002" s="675"/>
    </row>
    <row r="1003" spans="2:17">
      <c r="B1003" s="332"/>
      <c r="C1003" s="723">
        <f>IF(D956="","-",+C1002+1)</f>
        <v>2055</v>
      </c>
      <c r="D1003" s="674">
        <f t="shared" si="94"/>
        <v>29614.750760869418</v>
      </c>
      <c r="E1003" s="730">
        <f t="shared" si="95"/>
        <v>5825.8526086956517</v>
      </c>
      <c r="F1003" s="730">
        <f t="shared" si="88"/>
        <v>23788.898152173766</v>
      </c>
      <c r="G1003" s="674">
        <f t="shared" si="89"/>
        <v>26701.824456521594</v>
      </c>
      <c r="H1003" s="724">
        <f>+J957*G1003+E1003</f>
        <v>8521.7606882225027</v>
      </c>
      <c r="I1003" s="731">
        <f>+J958*G1003+E1003</f>
        <v>8521.7606882225027</v>
      </c>
      <c r="J1003" s="727">
        <f t="shared" si="90"/>
        <v>0</v>
      </c>
      <c r="K1003" s="727"/>
      <c r="L1003" s="732"/>
      <c r="M1003" s="727">
        <f t="shared" si="91"/>
        <v>0</v>
      </c>
      <c r="N1003" s="732"/>
      <c r="O1003" s="727">
        <f t="shared" si="92"/>
        <v>0</v>
      </c>
      <c r="P1003" s="727">
        <f t="shared" si="93"/>
        <v>0</v>
      </c>
      <c r="Q1003" s="675"/>
    </row>
    <row r="1004" spans="2:17">
      <c r="B1004" s="332"/>
      <c r="C1004" s="723">
        <f>IF(D956="","-",+C1003+1)</f>
        <v>2056</v>
      </c>
      <c r="D1004" s="674">
        <f t="shared" si="94"/>
        <v>23788.898152173766</v>
      </c>
      <c r="E1004" s="730">
        <f t="shared" si="95"/>
        <v>5825.8526086956517</v>
      </c>
      <c r="F1004" s="730">
        <f t="shared" si="88"/>
        <v>17963.045543478114</v>
      </c>
      <c r="G1004" s="674">
        <f t="shared" si="89"/>
        <v>20875.971847825938</v>
      </c>
      <c r="H1004" s="724">
        <f>+J957*G1004+E1004</f>
        <v>7933.5625617802771</v>
      </c>
      <c r="I1004" s="731">
        <f>+J958*G1004+E1004</f>
        <v>7933.5625617802771</v>
      </c>
      <c r="J1004" s="727">
        <f t="shared" si="90"/>
        <v>0</v>
      </c>
      <c r="K1004" s="727"/>
      <c r="L1004" s="732"/>
      <c r="M1004" s="727">
        <f t="shared" si="91"/>
        <v>0</v>
      </c>
      <c r="N1004" s="732"/>
      <c r="O1004" s="727">
        <f t="shared" si="92"/>
        <v>0</v>
      </c>
      <c r="P1004" s="727">
        <f t="shared" si="93"/>
        <v>0</v>
      </c>
      <c r="Q1004" s="675"/>
    </row>
    <row r="1005" spans="2:17">
      <c r="B1005" s="332"/>
      <c r="C1005" s="723">
        <f>IF(D956="","-",+C1004+1)</f>
        <v>2057</v>
      </c>
      <c r="D1005" s="674">
        <f t="shared" si="94"/>
        <v>17963.045543478114</v>
      </c>
      <c r="E1005" s="730">
        <f t="shared" si="95"/>
        <v>5825.8526086956517</v>
      </c>
      <c r="F1005" s="730">
        <f t="shared" si="88"/>
        <v>12137.192934782463</v>
      </c>
      <c r="G1005" s="674">
        <f t="shared" si="89"/>
        <v>15050.119239130288</v>
      </c>
      <c r="H1005" s="724">
        <f>+J957*G1005+E1005</f>
        <v>7345.3644353380514</v>
      </c>
      <c r="I1005" s="731">
        <f>+J958*G1005+E1005</f>
        <v>7345.3644353380514</v>
      </c>
      <c r="J1005" s="727">
        <f t="shared" si="90"/>
        <v>0</v>
      </c>
      <c r="K1005" s="727"/>
      <c r="L1005" s="732"/>
      <c r="M1005" s="727">
        <f t="shared" si="91"/>
        <v>0</v>
      </c>
      <c r="N1005" s="732"/>
      <c r="O1005" s="727">
        <f t="shared" si="92"/>
        <v>0</v>
      </c>
      <c r="P1005" s="727">
        <f t="shared" si="93"/>
        <v>0</v>
      </c>
      <c r="Q1005" s="675"/>
    </row>
    <row r="1006" spans="2:17">
      <c r="B1006" s="332"/>
      <c r="C1006" s="723">
        <f>IF(D956="","-",+C1005+1)</f>
        <v>2058</v>
      </c>
      <c r="D1006" s="674">
        <f t="shared" si="94"/>
        <v>12137.192934782463</v>
      </c>
      <c r="E1006" s="730">
        <f t="shared" si="95"/>
        <v>5825.8526086956517</v>
      </c>
      <c r="F1006" s="730">
        <f t="shared" si="88"/>
        <v>6311.3403260868108</v>
      </c>
      <c r="G1006" s="674">
        <f t="shared" si="89"/>
        <v>9224.2666304346367</v>
      </c>
      <c r="H1006" s="724">
        <f>+J957*G1006+E1006</f>
        <v>6757.1663088958267</v>
      </c>
      <c r="I1006" s="731">
        <f>+J958*G1006+E1006</f>
        <v>6757.1663088958267</v>
      </c>
      <c r="J1006" s="727">
        <f t="shared" si="90"/>
        <v>0</v>
      </c>
      <c r="K1006" s="727"/>
      <c r="L1006" s="732"/>
      <c r="M1006" s="727">
        <f t="shared" si="91"/>
        <v>0</v>
      </c>
      <c r="N1006" s="732"/>
      <c r="O1006" s="727">
        <f t="shared" si="92"/>
        <v>0</v>
      </c>
      <c r="P1006" s="727">
        <f t="shared" si="93"/>
        <v>0</v>
      </c>
      <c r="Q1006" s="675"/>
    </row>
    <row r="1007" spans="2:17">
      <c r="B1007" s="332"/>
      <c r="C1007" s="723">
        <f>IF(D956="","-",+C1006+1)</f>
        <v>2059</v>
      </c>
      <c r="D1007" s="674">
        <f t="shared" si="94"/>
        <v>6311.3403260868108</v>
      </c>
      <c r="E1007" s="730">
        <f t="shared" si="95"/>
        <v>5825.8526086956517</v>
      </c>
      <c r="F1007" s="730">
        <f t="shared" si="88"/>
        <v>485.48771739115909</v>
      </c>
      <c r="G1007" s="674">
        <f t="shared" si="89"/>
        <v>3398.414021738985</v>
      </c>
      <c r="H1007" s="724">
        <f>+J957*G1007+E1007</f>
        <v>6168.9681824536019</v>
      </c>
      <c r="I1007" s="731">
        <f>+J958*G1007+E1007</f>
        <v>6168.9681824536019</v>
      </c>
      <c r="J1007" s="727">
        <f t="shared" si="90"/>
        <v>0</v>
      </c>
      <c r="K1007" s="727"/>
      <c r="L1007" s="732"/>
      <c r="M1007" s="727">
        <f t="shared" si="91"/>
        <v>0</v>
      </c>
      <c r="N1007" s="732"/>
      <c r="O1007" s="727">
        <f t="shared" si="92"/>
        <v>0</v>
      </c>
      <c r="P1007" s="727">
        <f t="shared" si="93"/>
        <v>0</v>
      </c>
      <c r="Q1007" s="675"/>
    </row>
    <row r="1008" spans="2:17">
      <c r="B1008" s="332"/>
      <c r="C1008" s="723">
        <f>IF(D956="","-",+C1007+1)</f>
        <v>2060</v>
      </c>
      <c r="D1008" s="674">
        <f t="shared" si="94"/>
        <v>485.48771739115909</v>
      </c>
      <c r="E1008" s="730">
        <f t="shared" si="95"/>
        <v>485.48771739115909</v>
      </c>
      <c r="F1008" s="730">
        <f t="shared" si="88"/>
        <v>0</v>
      </c>
      <c r="G1008" s="674">
        <f t="shared" si="89"/>
        <v>242.74385869557955</v>
      </c>
      <c r="H1008" s="724">
        <f>+J957*G1008+E1008</f>
        <v>509.99597265957783</v>
      </c>
      <c r="I1008" s="731">
        <f>+J958*G1008+E1008</f>
        <v>509.99597265957783</v>
      </c>
      <c r="J1008" s="727">
        <f t="shared" si="90"/>
        <v>0</v>
      </c>
      <c r="K1008" s="727"/>
      <c r="L1008" s="732"/>
      <c r="M1008" s="727">
        <f t="shared" si="91"/>
        <v>0</v>
      </c>
      <c r="N1008" s="732"/>
      <c r="O1008" s="727">
        <f t="shared" si="92"/>
        <v>0</v>
      </c>
      <c r="P1008" s="727">
        <f t="shared" si="93"/>
        <v>0</v>
      </c>
      <c r="Q1008" s="675"/>
    </row>
    <row r="1009" spans="2:17">
      <c r="B1009" s="332"/>
      <c r="C1009" s="723">
        <f>IF(D956="","-",+C1008+1)</f>
        <v>2061</v>
      </c>
      <c r="D1009" s="674">
        <f t="shared" si="94"/>
        <v>0</v>
      </c>
      <c r="E1009" s="730">
        <f t="shared" si="95"/>
        <v>0</v>
      </c>
      <c r="F1009" s="730">
        <f t="shared" si="88"/>
        <v>0</v>
      </c>
      <c r="G1009" s="674">
        <f t="shared" si="89"/>
        <v>0</v>
      </c>
      <c r="H1009" s="724">
        <f>+J957*G1009+E1009</f>
        <v>0</v>
      </c>
      <c r="I1009" s="731">
        <f>+J958*G1009+E1009</f>
        <v>0</v>
      </c>
      <c r="J1009" s="727">
        <f t="shared" si="90"/>
        <v>0</v>
      </c>
      <c r="K1009" s="727"/>
      <c r="L1009" s="732"/>
      <c r="M1009" s="727">
        <f t="shared" si="91"/>
        <v>0</v>
      </c>
      <c r="N1009" s="732"/>
      <c r="O1009" s="727">
        <f t="shared" si="92"/>
        <v>0</v>
      </c>
      <c r="P1009" s="727">
        <f t="shared" si="93"/>
        <v>0</v>
      </c>
      <c r="Q1009" s="675"/>
    </row>
    <row r="1010" spans="2:17">
      <c r="B1010" s="332"/>
      <c r="C1010" s="723">
        <f>IF(D956="","-",+C1009+1)</f>
        <v>2062</v>
      </c>
      <c r="D1010" s="674">
        <f t="shared" si="94"/>
        <v>0</v>
      </c>
      <c r="E1010" s="730">
        <f t="shared" si="95"/>
        <v>0</v>
      </c>
      <c r="F1010" s="730">
        <f t="shared" si="88"/>
        <v>0</v>
      </c>
      <c r="G1010" s="674">
        <f t="shared" si="89"/>
        <v>0</v>
      </c>
      <c r="H1010" s="724">
        <f>+J957*G1010+E1010</f>
        <v>0</v>
      </c>
      <c r="I1010" s="731">
        <f>+J958*G1010+E1010</f>
        <v>0</v>
      </c>
      <c r="J1010" s="727">
        <f t="shared" si="90"/>
        <v>0</v>
      </c>
      <c r="K1010" s="727"/>
      <c r="L1010" s="732"/>
      <c r="M1010" s="727">
        <f t="shared" si="91"/>
        <v>0</v>
      </c>
      <c r="N1010" s="732"/>
      <c r="O1010" s="727">
        <f t="shared" si="92"/>
        <v>0</v>
      </c>
      <c r="P1010" s="727">
        <f t="shared" si="93"/>
        <v>0</v>
      </c>
      <c r="Q1010" s="675"/>
    </row>
    <row r="1011" spans="2:17">
      <c r="B1011" s="332"/>
      <c r="C1011" s="723">
        <f>IF(D956="","-",+C1010+1)</f>
        <v>2063</v>
      </c>
      <c r="D1011" s="674">
        <f t="shared" si="94"/>
        <v>0</v>
      </c>
      <c r="E1011" s="730">
        <f t="shared" si="95"/>
        <v>0</v>
      </c>
      <c r="F1011" s="730">
        <f t="shared" si="88"/>
        <v>0</v>
      </c>
      <c r="G1011" s="674">
        <f t="shared" si="89"/>
        <v>0</v>
      </c>
      <c r="H1011" s="724">
        <f>+J957*G1011+E1011</f>
        <v>0</v>
      </c>
      <c r="I1011" s="731">
        <f>+J958*G1011+E1011</f>
        <v>0</v>
      </c>
      <c r="J1011" s="727">
        <f t="shared" si="90"/>
        <v>0</v>
      </c>
      <c r="K1011" s="727"/>
      <c r="L1011" s="732"/>
      <c r="M1011" s="727">
        <f t="shared" si="91"/>
        <v>0</v>
      </c>
      <c r="N1011" s="732"/>
      <c r="O1011" s="727">
        <f t="shared" si="92"/>
        <v>0</v>
      </c>
      <c r="P1011" s="727">
        <f t="shared" si="93"/>
        <v>0</v>
      </c>
      <c r="Q1011" s="675"/>
    </row>
    <row r="1012" spans="2:17">
      <c r="B1012" s="332"/>
      <c r="C1012" s="723">
        <f>IF(D956="","-",+C1011+1)</f>
        <v>2064</v>
      </c>
      <c r="D1012" s="674">
        <f t="shared" si="94"/>
        <v>0</v>
      </c>
      <c r="E1012" s="730">
        <f t="shared" si="95"/>
        <v>0</v>
      </c>
      <c r="F1012" s="730">
        <f t="shared" si="88"/>
        <v>0</v>
      </c>
      <c r="G1012" s="674">
        <f t="shared" si="89"/>
        <v>0</v>
      </c>
      <c r="H1012" s="724">
        <f>+J957*G1012+E1012</f>
        <v>0</v>
      </c>
      <c r="I1012" s="731">
        <f>+J958*G1012+E1012</f>
        <v>0</v>
      </c>
      <c r="J1012" s="727">
        <f t="shared" si="90"/>
        <v>0</v>
      </c>
      <c r="K1012" s="727"/>
      <c r="L1012" s="732"/>
      <c r="M1012" s="727">
        <f t="shared" si="91"/>
        <v>0</v>
      </c>
      <c r="N1012" s="732"/>
      <c r="O1012" s="727">
        <f t="shared" si="92"/>
        <v>0</v>
      </c>
      <c r="P1012" s="727">
        <f t="shared" si="93"/>
        <v>0</v>
      </c>
      <c r="Q1012" s="675"/>
    </row>
    <row r="1013" spans="2:17">
      <c r="B1013" s="332"/>
      <c r="C1013" s="723">
        <f>IF(D956="","-",+C1012+1)</f>
        <v>2065</v>
      </c>
      <c r="D1013" s="674">
        <f t="shared" si="94"/>
        <v>0</v>
      </c>
      <c r="E1013" s="730">
        <f t="shared" si="95"/>
        <v>0</v>
      </c>
      <c r="F1013" s="730">
        <f t="shared" si="88"/>
        <v>0</v>
      </c>
      <c r="G1013" s="674">
        <f t="shared" si="89"/>
        <v>0</v>
      </c>
      <c r="H1013" s="724">
        <f>+J957*G1013+E1013</f>
        <v>0</v>
      </c>
      <c r="I1013" s="731">
        <f>+J958*G1013+E1013</f>
        <v>0</v>
      </c>
      <c r="J1013" s="727">
        <f t="shared" si="90"/>
        <v>0</v>
      </c>
      <c r="K1013" s="727"/>
      <c r="L1013" s="732"/>
      <c r="M1013" s="727">
        <f t="shared" si="91"/>
        <v>0</v>
      </c>
      <c r="N1013" s="732"/>
      <c r="O1013" s="727">
        <f t="shared" si="92"/>
        <v>0</v>
      </c>
      <c r="P1013" s="727">
        <f t="shared" si="93"/>
        <v>0</v>
      </c>
      <c r="Q1013" s="675"/>
    </row>
    <row r="1014" spans="2:17">
      <c r="B1014" s="332"/>
      <c r="C1014" s="723">
        <f>IF(D956="","-",+C1013+1)</f>
        <v>2066</v>
      </c>
      <c r="D1014" s="674">
        <f t="shared" si="94"/>
        <v>0</v>
      </c>
      <c r="E1014" s="730">
        <f t="shared" si="95"/>
        <v>0</v>
      </c>
      <c r="F1014" s="730">
        <f t="shared" si="88"/>
        <v>0</v>
      </c>
      <c r="G1014" s="674">
        <f t="shared" si="89"/>
        <v>0</v>
      </c>
      <c r="H1014" s="724">
        <f>+J957*G1014+E1014</f>
        <v>0</v>
      </c>
      <c r="I1014" s="731">
        <f>+J958*G1014+E1014</f>
        <v>0</v>
      </c>
      <c r="J1014" s="727">
        <f t="shared" si="90"/>
        <v>0</v>
      </c>
      <c r="K1014" s="727"/>
      <c r="L1014" s="732"/>
      <c r="M1014" s="727">
        <f t="shared" si="91"/>
        <v>0</v>
      </c>
      <c r="N1014" s="732"/>
      <c r="O1014" s="727">
        <f t="shared" si="92"/>
        <v>0</v>
      </c>
      <c r="P1014" s="727">
        <f t="shared" si="93"/>
        <v>0</v>
      </c>
      <c r="Q1014" s="675"/>
    </row>
    <row r="1015" spans="2:17">
      <c r="B1015" s="332"/>
      <c r="C1015" s="723">
        <f>IF(D956="","-",+C1014+1)</f>
        <v>2067</v>
      </c>
      <c r="D1015" s="674">
        <f t="shared" si="94"/>
        <v>0</v>
      </c>
      <c r="E1015" s="730">
        <f t="shared" si="95"/>
        <v>0</v>
      </c>
      <c r="F1015" s="730">
        <f t="shared" si="88"/>
        <v>0</v>
      </c>
      <c r="G1015" s="674">
        <f t="shared" si="89"/>
        <v>0</v>
      </c>
      <c r="H1015" s="724">
        <f>+J957*G1015+E1015</f>
        <v>0</v>
      </c>
      <c r="I1015" s="731">
        <f>+J958*G1015+E1015</f>
        <v>0</v>
      </c>
      <c r="J1015" s="727">
        <f t="shared" si="90"/>
        <v>0</v>
      </c>
      <c r="K1015" s="727"/>
      <c r="L1015" s="732"/>
      <c r="M1015" s="727">
        <f t="shared" si="91"/>
        <v>0</v>
      </c>
      <c r="N1015" s="732"/>
      <c r="O1015" s="727">
        <f t="shared" si="92"/>
        <v>0</v>
      </c>
      <c r="P1015" s="727">
        <f t="shared" si="93"/>
        <v>0</v>
      </c>
      <c r="Q1015" s="675"/>
    </row>
    <row r="1016" spans="2:17">
      <c r="B1016" s="332"/>
      <c r="C1016" s="723">
        <f>IF(D956="","-",+C1015+1)</f>
        <v>2068</v>
      </c>
      <c r="D1016" s="674">
        <f t="shared" si="94"/>
        <v>0</v>
      </c>
      <c r="E1016" s="730">
        <f t="shared" si="95"/>
        <v>0</v>
      </c>
      <c r="F1016" s="730">
        <f t="shared" si="88"/>
        <v>0</v>
      </c>
      <c r="G1016" s="674">
        <f t="shared" si="89"/>
        <v>0</v>
      </c>
      <c r="H1016" s="724">
        <f>+J957*G1016+E1016</f>
        <v>0</v>
      </c>
      <c r="I1016" s="731">
        <f>+J958*G1016+E1016</f>
        <v>0</v>
      </c>
      <c r="J1016" s="727">
        <f t="shared" si="90"/>
        <v>0</v>
      </c>
      <c r="K1016" s="727"/>
      <c r="L1016" s="732"/>
      <c r="M1016" s="727">
        <f t="shared" si="91"/>
        <v>0</v>
      </c>
      <c r="N1016" s="732"/>
      <c r="O1016" s="727">
        <f t="shared" si="92"/>
        <v>0</v>
      </c>
      <c r="P1016" s="727">
        <f t="shared" si="93"/>
        <v>0</v>
      </c>
      <c r="Q1016" s="675"/>
    </row>
    <row r="1017" spans="2:17">
      <c r="B1017" s="332"/>
      <c r="C1017" s="723">
        <f>IF(D956="","-",+C1016+1)</f>
        <v>2069</v>
      </c>
      <c r="D1017" s="674">
        <f t="shared" si="94"/>
        <v>0</v>
      </c>
      <c r="E1017" s="730">
        <f t="shared" si="95"/>
        <v>0</v>
      </c>
      <c r="F1017" s="730">
        <f t="shared" si="88"/>
        <v>0</v>
      </c>
      <c r="G1017" s="674">
        <f t="shared" si="89"/>
        <v>0</v>
      </c>
      <c r="H1017" s="724">
        <f>+J957*G1017+E1017</f>
        <v>0</v>
      </c>
      <c r="I1017" s="731">
        <f>+J958*G1017+E1017</f>
        <v>0</v>
      </c>
      <c r="J1017" s="727">
        <f t="shared" si="90"/>
        <v>0</v>
      </c>
      <c r="K1017" s="727"/>
      <c r="L1017" s="732"/>
      <c r="M1017" s="727">
        <f t="shared" si="91"/>
        <v>0</v>
      </c>
      <c r="N1017" s="732"/>
      <c r="O1017" s="727">
        <f t="shared" si="92"/>
        <v>0</v>
      </c>
      <c r="P1017" s="727">
        <f t="shared" si="93"/>
        <v>0</v>
      </c>
      <c r="Q1017" s="675"/>
    </row>
    <row r="1018" spans="2:17">
      <c r="B1018" s="332"/>
      <c r="C1018" s="723">
        <f>IF(D956="","-",+C1017+1)</f>
        <v>2070</v>
      </c>
      <c r="D1018" s="674">
        <f t="shared" si="94"/>
        <v>0</v>
      </c>
      <c r="E1018" s="730">
        <f t="shared" si="95"/>
        <v>0</v>
      </c>
      <c r="F1018" s="730">
        <f t="shared" si="88"/>
        <v>0</v>
      </c>
      <c r="G1018" s="674">
        <f t="shared" si="89"/>
        <v>0</v>
      </c>
      <c r="H1018" s="724">
        <f>+J957*G1018+E1018</f>
        <v>0</v>
      </c>
      <c r="I1018" s="731">
        <f>+J958*G1018+E1018</f>
        <v>0</v>
      </c>
      <c r="J1018" s="727">
        <f t="shared" si="90"/>
        <v>0</v>
      </c>
      <c r="K1018" s="727"/>
      <c r="L1018" s="732"/>
      <c r="M1018" s="727">
        <f t="shared" si="91"/>
        <v>0</v>
      </c>
      <c r="N1018" s="732"/>
      <c r="O1018" s="727">
        <f t="shared" si="92"/>
        <v>0</v>
      </c>
      <c r="P1018" s="727">
        <f t="shared" si="93"/>
        <v>0</v>
      </c>
      <c r="Q1018" s="675"/>
    </row>
    <row r="1019" spans="2:17">
      <c r="B1019" s="332"/>
      <c r="C1019" s="723">
        <f>IF(D956="","-",+C1018+1)</f>
        <v>2071</v>
      </c>
      <c r="D1019" s="674">
        <f t="shared" si="94"/>
        <v>0</v>
      </c>
      <c r="E1019" s="730">
        <f t="shared" si="95"/>
        <v>0</v>
      </c>
      <c r="F1019" s="730">
        <f t="shared" si="88"/>
        <v>0</v>
      </c>
      <c r="G1019" s="674">
        <f t="shared" si="89"/>
        <v>0</v>
      </c>
      <c r="H1019" s="724">
        <f>+J957*G1019+E1019</f>
        <v>0</v>
      </c>
      <c r="I1019" s="731">
        <f>+J958*G1019+E1019</f>
        <v>0</v>
      </c>
      <c r="J1019" s="727">
        <f t="shared" si="90"/>
        <v>0</v>
      </c>
      <c r="K1019" s="727"/>
      <c r="L1019" s="732"/>
      <c r="M1019" s="727">
        <f t="shared" si="91"/>
        <v>0</v>
      </c>
      <c r="N1019" s="732"/>
      <c r="O1019" s="727">
        <f t="shared" si="92"/>
        <v>0</v>
      </c>
      <c r="P1019" s="727">
        <f t="shared" si="93"/>
        <v>0</v>
      </c>
      <c r="Q1019" s="675"/>
    </row>
    <row r="1020" spans="2:17">
      <c r="B1020" s="332"/>
      <c r="C1020" s="723">
        <f>IF(D956="","-",+C1019+1)</f>
        <v>2072</v>
      </c>
      <c r="D1020" s="674">
        <f t="shared" si="94"/>
        <v>0</v>
      </c>
      <c r="E1020" s="730">
        <f t="shared" si="95"/>
        <v>0</v>
      </c>
      <c r="F1020" s="730">
        <f t="shared" si="88"/>
        <v>0</v>
      </c>
      <c r="G1020" s="674">
        <f t="shared" si="89"/>
        <v>0</v>
      </c>
      <c r="H1020" s="724">
        <f>+J957*G1020+E1020</f>
        <v>0</v>
      </c>
      <c r="I1020" s="731">
        <f>+J958*G1020+E1020</f>
        <v>0</v>
      </c>
      <c r="J1020" s="727">
        <f t="shared" si="90"/>
        <v>0</v>
      </c>
      <c r="K1020" s="727"/>
      <c r="L1020" s="732"/>
      <c r="M1020" s="727">
        <f t="shared" si="91"/>
        <v>0</v>
      </c>
      <c r="N1020" s="732"/>
      <c r="O1020" s="727">
        <f t="shared" si="92"/>
        <v>0</v>
      </c>
      <c r="P1020" s="727">
        <f t="shared" si="93"/>
        <v>0</v>
      </c>
      <c r="Q1020" s="675"/>
    </row>
    <row r="1021" spans="2:17" ht="13.5" thickBot="1">
      <c r="B1021" s="332"/>
      <c r="C1021" s="735">
        <f>IF(D956="","-",+C1020+1)</f>
        <v>2073</v>
      </c>
      <c r="D1021" s="736">
        <f t="shared" si="94"/>
        <v>0</v>
      </c>
      <c r="E1021" s="737">
        <f t="shared" si="95"/>
        <v>0</v>
      </c>
      <c r="F1021" s="737">
        <f t="shared" si="88"/>
        <v>0</v>
      </c>
      <c r="G1021" s="736">
        <f t="shared" si="89"/>
        <v>0</v>
      </c>
      <c r="H1021" s="738">
        <f>+J957*G1021+E1021</f>
        <v>0</v>
      </c>
      <c r="I1021" s="738">
        <f>+J958*G1021+E1021</f>
        <v>0</v>
      </c>
      <c r="J1021" s="739">
        <f t="shared" si="90"/>
        <v>0</v>
      </c>
      <c r="K1021" s="727"/>
      <c r="L1021" s="740"/>
      <c r="M1021" s="739">
        <f t="shared" si="91"/>
        <v>0</v>
      </c>
      <c r="N1021" s="740"/>
      <c r="O1021" s="739">
        <f t="shared" si="92"/>
        <v>0</v>
      </c>
      <c r="P1021" s="739">
        <f t="shared" si="93"/>
        <v>0</v>
      </c>
      <c r="Q1021" s="675"/>
    </row>
    <row r="1022" spans="2:17">
      <c r="B1022" s="332"/>
      <c r="C1022" s="674" t="s">
        <v>288</v>
      </c>
      <c r="D1022" s="670"/>
      <c r="E1022" s="670">
        <f>SUM(E962:E1021)</f>
        <v>267989.21999999997</v>
      </c>
      <c r="F1022" s="670"/>
      <c r="G1022" s="670"/>
      <c r="H1022" s="670">
        <f>SUM(H962:H1021)</f>
        <v>892557.59726056852</v>
      </c>
      <c r="I1022" s="670">
        <f>SUM(I962:I1021)</f>
        <v>892557.59726056852</v>
      </c>
      <c r="J1022" s="670">
        <f>SUM(J962:J1021)</f>
        <v>0</v>
      </c>
      <c r="K1022" s="670"/>
      <c r="L1022" s="670"/>
      <c r="M1022" s="670"/>
      <c r="N1022" s="670"/>
      <c r="O1022" s="670"/>
      <c r="Q1022" s="670"/>
    </row>
    <row r="1023" spans="2:17">
      <c r="B1023" s="332"/>
      <c r="D1023" s="564"/>
      <c r="E1023" s="541"/>
      <c r="F1023" s="541"/>
      <c r="G1023" s="541"/>
      <c r="H1023" s="541"/>
      <c r="I1023" s="647"/>
      <c r="J1023" s="647"/>
      <c r="K1023" s="670"/>
      <c r="L1023" s="647"/>
      <c r="M1023" s="647"/>
      <c r="N1023" s="647"/>
      <c r="O1023" s="647"/>
      <c r="Q1023" s="670"/>
    </row>
    <row r="1024" spans="2:17">
      <c r="B1024" s="332"/>
      <c r="C1024" s="541" t="s">
        <v>601</v>
      </c>
      <c r="D1024" s="564"/>
      <c r="E1024" s="541"/>
      <c r="F1024" s="541"/>
      <c r="G1024" s="541"/>
      <c r="H1024" s="541"/>
      <c r="I1024" s="647"/>
      <c r="J1024" s="647"/>
      <c r="K1024" s="670"/>
      <c r="L1024" s="647"/>
      <c r="M1024" s="647"/>
      <c r="N1024" s="647"/>
      <c r="O1024" s="647"/>
      <c r="Q1024" s="670"/>
    </row>
    <row r="1025" spans="1:17">
      <c r="B1025" s="332"/>
      <c r="D1025" s="564"/>
      <c r="E1025" s="541"/>
      <c r="F1025" s="541"/>
      <c r="G1025" s="541"/>
      <c r="H1025" s="541"/>
      <c r="I1025" s="647"/>
      <c r="J1025" s="647"/>
      <c r="K1025" s="670"/>
      <c r="L1025" s="647"/>
      <c r="M1025" s="647"/>
      <c r="N1025" s="647"/>
      <c r="O1025" s="647"/>
      <c r="Q1025" s="670"/>
    </row>
    <row r="1026" spans="1:17">
      <c r="B1026" s="332"/>
      <c r="C1026" s="577" t="s">
        <v>602</v>
      </c>
      <c r="D1026" s="674"/>
      <c r="E1026" s="674"/>
      <c r="F1026" s="674"/>
      <c r="G1026" s="674"/>
      <c r="H1026" s="670"/>
      <c r="I1026" s="670"/>
      <c r="J1026" s="675"/>
      <c r="K1026" s="675"/>
      <c r="L1026" s="675"/>
      <c r="M1026" s="675"/>
      <c r="N1026" s="675"/>
      <c r="O1026" s="675"/>
      <c r="Q1026" s="675"/>
    </row>
    <row r="1027" spans="1:17">
      <c r="B1027" s="332"/>
      <c r="C1027" s="577" t="s">
        <v>476</v>
      </c>
      <c r="D1027" s="674"/>
      <c r="E1027" s="674"/>
      <c r="F1027" s="674"/>
      <c r="G1027" s="674"/>
      <c r="H1027" s="670"/>
      <c r="I1027" s="670"/>
      <c r="J1027" s="675"/>
      <c r="K1027" s="675"/>
      <c r="L1027" s="675"/>
      <c r="M1027" s="675"/>
      <c r="N1027" s="675"/>
      <c r="O1027" s="675"/>
      <c r="Q1027" s="675"/>
    </row>
    <row r="1028" spans="1:17">
      <c r="B1028" s="332"/>
      <c r="C1028" s="577" t="s">
        <v>289</v>
      </c>
      <c r="D1028" s="674"/>
      <c r="E1028" s="674"/>
      <c r="F1028" s="674"/>
      <c r="G1028" s="674"/>
      <c r="H1028" s="670"/>
      <c r="I1028" s="670"/>
      <c r="J1028" s="675"/>
      <c r="K1028" s="675"/>
      <c r="L1028" s="675"/>
      <c r="M1028" s="675"/>
      <c r="N1028" s="675"/>
      <c r="O1028" s="675"/>
      <c r="Q1028" s="675"/>
    </row>
    <row r="1029" spans="1:17" ht="20.25">
      <c r="A1029" s="676" t="s">
        <v>770</v>
      </c>
      <c r="B1029" s="541"/>
      <c r="C1029" s="656"/>
      <c r="D1029" s="564"/>
      <c r="E1029" s="541"/>
      <c r="F1029" s="646"/>
      <c r="G1029" s="646"/>
      <c r="H1029" s="541"/>
      <c r="I1029" s="647"/>
      <c r="L1029" s="677"/>
      <c r="M1029" s="677"/>
      <c r="N1029" s="677"/>
      <c r="O1029" s="592" t="str">
        <f>"Page "&amp;SUM(Q$3:Q1029)&amp;" of "</f>
        <v xml:space="preserve">Page 13 of </v>
      </c>
      <c r="P1029" s="593">
        <f>COUNT(Q$8:Q$58123)</f>
        <v>16</v>
      </c>
      <c r="Q1029" s="761">
        <v>1</v>
      </c>
    </row>
    <row r="1030" spans="1:17">
      <c r="B1030" s="541"/>
      <c r="C1030" s="541"/>
      <c r="D1030" s="564"/>
      <c r="E1030" s="541"/>
      <c r="F1030" s="541"/>
      <c r="G1030" s="541"/>
      <c r="H1030" s="541"/>
      <c r="I1030" s="647"/>
      <c r="J1030" s="541"/>
      <c r="K1030" s="589"/>
      <c r="Q1030" s="589"/>
    </row>
    <row r="1031" spans="1:17" ht="18">
      <c r="B1031" s="596" t="s">
        <v>174</v>
      </c>
      <c r="C1031" s="678" t="s">
        <v>290</v>
      </c>
      <c r="D1031" s="564"/>
      <c r="E1031" s="541"/>
      <c r="F1031" s="541"/>
      <c r="G1031" s="541"/>
      <c r="H1031" s="541"/>
      <c r="I1031" s="647"/>
      <c r="J1031" s="647"/>
      <c r="K1031" s="670"/>
      <c r="L1031" s="647"/>
      <c r="M1031" s="647"/>
      <c r="N1031" s="647"/>
      <c r="O1031" s="647"/>
      <c r="Q1031" s="670"/>
    </row>
    <row r="1032" spans="1:17" ht="18.75">
      <c r="B1032" s="596"/>
      <c r="C1032" s="595"/>
      <c r="D1032" s="564"/>
      <c r="E1032" s="541"/>
      <c r="F1032" s="541"/>
      <c r="G1032" s="541"/>
      <c r="H1032" s="541"/>
      <c r="I1032" s="647"/>
      <c r="J1032" s="647"/>
      <c r="K1032" s="670"/>
      <c r="L1032" s="647"/>
      <c r="M1032" s="647"/>
      <c r="N1032" s="647"/>
      <c r="O1032" s="647"/>
      <c r="Q1032" s="670"/>
    </row>
    <row r="1033" spans="1:17" ht="18.75">
      <c r="B1033" s="596"/>
      <c r="C1033" s="595" t="s">
        <v>291</v>
      </c>
      <c r="D1033" s="564"/>
      <c r="E1033" s="541"/>
      <c r="F1033" s="541"/>
      <c r="G1033" s="541"/>
      <c r="H1033" s="541"/>
      <c r="I1033" s="647"/>
      <c r="J1033" s="647"/>
      <c r="K1033" s="670"/>
      <c r="L1033" s="647"/>
      <c r="M1033" s="647"/>
      <c r="N1033" s="647"/>
      <c r="O1033" s="647"/>
      <c r="Q1033" s="670"/>
    </row>
    <row r="1034" spans="1:17" ht="15.75" thickBot="1">
      <c r="B1034" s="332"/>
      <c r="C1034" s="398"/>
      <c r="D1034" s="564"/>
      <c r="E1034" s="541"/>
      <c r="F1034" s="541"/>
      <c r="G1034" s="541"/>
      <c r="H1034" s="541"/>
      <c r="I1034" s="647"/>
      <c r="J1034" s="647"/>
      <c r="K1034" s="670"/>
      <c r="L1034" s="647"/>
      <c r="M1034" s="647"/>
      <c r="N1034" s="647"/>
      <c r="O1034" s="647"/>
      <c r="Q1034" s="670"/>
    </row>
    <row r="1035" spans="1:17" ht="15.75">
      <c r="B1035" s="332"/>
      <c r="C1035" s="597" t="s">
        <v>292</v>
      </c>
      <c r="D1035" s="564"/>
      <c r="E1035" s="541"/>
      <c r="F1035" s="541"/>
      <c r="G1035" s="541"/>
      <c r="H1035" s="870"/>
      <c r="I1035" s="541" t="s">
        <v>271</v>
      </c>
      <c r="J1035" s="541"/>
      <c r="K1035" s="589"/>
      <c r="L1035" s="762">
        <f>+J1041</f>
        <v>2020</v>
      </c>
      <c r="M1035" s="744" t="s">
        <v>254</v>
      </c>
      <c r="N1035" s="744" t="s">
        <v>255</v>
      </c>
      <c r="O1035" s="745" t="s">
        <v>256</v>
      </c>
      <c r="Q1035" s="589"/>
    </row>
    <row r="1036" spans="1:17" ht="15.75">
      <c r="B1036" s="332"/>
      <c r="C1036" s="597"/>
      <c r="D1036" s="564"/>
      <c r="E1036" s="541"/>
      <c r="F1036" s="541"/>
      <c r="H1036" s="541"/>
      <c r="I1036" s="682"/>
      <c r="J1036" s="682"/>
      <c r="K1036" s="683"/>
      <c r="L1036" s="763" t="s">
        <v>455</v>
      </c>
      <c r="M1036" s="764">
        <f>VLOOKUP(J1041,C1048:P1107,10)</f>
        <v>1110564.6850760612</v>
      </c>
      <c r="N1036" s="764">
        <f>VLOOKUP(J1041,C1048:P1107,12)</f>
        <v>1110564.6850760612</v>
      </c>
      <c r="O1036" s="765">
        <f>+N1036-M1036</f>
        <v>0</v>
      </c>
      <c r="Q1036" s="683"/>
    </row>
    <row r="1037" spans="1:17">
      <c r="B1037" s="332"/>
      <c r="C1037" s="685" t="s">
        <v>293</v>
      </c>
      <c r="D1037" s="1544" t="s">
        <v>985</v>
      </c>
      <c r="E1037" s="1544"/>
      <c r="F1037" s="1544"/>
      <c r="G1037" s="1544"/>
      <c r="H1037" s="1544"/>
      <c r="I1037" s="647"/>
      <c r="J1037" s="647"/>
      <c r="K1037" s="670"/>
      <c r="L1037" s="763" t="s">
        <v>456</v>
      </c>
      <c r="M1037" s="766">
        <f>VLOOKUP(J1041,C1048:P1107,6)</f>
        <v>1123188.6539043139</v>
      </c>
      <c r="N1037" s="766">
        <f>VLOOKUP(J1041,C1048:P1107,7)</f>
        <v>1123188.6539043139</v>
      </c>
      <c r="O1037" s="767">
        <f>+N1037-M1037</f>
        <v>0</v>
      </c>
      <c r="Q1037" s="670"/>
    </row>
    <row r="1038" spans="1:17" ht="13.5" thickBot="1">
      <c r="B1038" s="332"/>
      <c r="C1038" s="687"/>
      <c r="D1038" s="688"/>
      <c r="E1038" s="672"/>
      <c r="F1038" s="672"/>
      <c r="G1038" s="672"/>
      <c r="H1038" s="689"/>
      <c r="I1038" s="647"/>
      <c r="J1038" s="647"/>
      <c r="K1038" s="670"/>
      <c r="L1038" s="708" t="s">
        <v>457</v>
      </c>
      <c r="M1038" s="768">
        <f>+M1037-M1036</f>
        <v>12623.96882825275</v>
      </c>
      <c r="N1038" s="768">
        <f>+N1037-N1036</f>
        <v>12623.96882825275</v>
      </c>
      <c r="O1038" s="769">
        <f>+O1037-O1036</f>
        <v>0</v>
      </c>
      <c r="Q1038" s="670"/>
    </row>
    <row r="1039" spans="1:17" ht="13.5" thickBot="1">
      <c r="B1039" s="332"/>
      <c r="C1039" s="690"/>
      <c r="D1039" s="691"/>
      <c r="E1039" s="689"/>
      <c r="F1039" s="689"/>
      <c r="G1039" s="689"/>
      <c r="H1039" s="689"/>
      <c r="I1039" s="689"/>
      <c r="J1039" s="689"/>
      <c r="K1039" s="692"/>
      <c r="L1039" s="689"/>
      <c r="M1039" s="689"/>
      <c r="N1039" s="689"/>
      <c r="O1039" s="689"/>
      <c r="P1039" s="577"/>
      <c r="Q1039" s="692"/>
    </row>
    <row r="1040" spans="1:17" ht="13.5" thickBot="1">
      <c r="B1040" s="332"/>
      <c r="C1040" s="694" t="s">
        <v>294</v>
      </c>
      <c r="D1040" s="695"/>
      <c r="E1040" s="695"/>
      <c r="F1040" s="695"/>
      <c r="G1040" s="695"/>
      <c r="H1040" s="695"/>
      <c r="I1040" s="695"/>
      <c r="J1040" s="695"/>
      <c r="K1040" s="697"/>
      <c r="P1040" s="698"/>
      <c r="Q1040" s="697"/>
    </row>
    <row r="1041" spans="1:17" ht="15">
      <c r="A1041" s="693"/>
      <c r="B1041" s="332"/>
      <c r="C1041" s="700" t="s">
        <v>272</v>
      </c>
      <c r="D1041" s="1256">
        <v>9582259.5500000007</v>
      </c>
      <c r="E1041" s="656" t="s">
        <v>273</v>
      </c>
      <c r="H1041" s="701"/>
      <c r="I1041" s="701"/>
      <c r="J1041" s="702">
        <f>$J$95</f>
        <v>2020</v>
      </c>
      <c r="K1041" s="587"/>
      <c r="L1041" s="1545" t="s">
        <v>274</v>
      </c>
      <c r="M1041" s="1545"/>
      <c r="N1041" s="1545"/>
      <c r="O1041" s="1545"/>
      <c r="P1041" s="589"/>
      <c r="Q1041" s="587"/>
    </row>
    <row r="1042" spans="1:17">
      <c r="A1042" s="693"/>
      <c r="B1042" s="332"/>
      <c r="C1042" s="700" t="s">
        <v>275</v>
      </c>
      <c r="D1042" s="872">
        <v>2017</v>
      </c>
      <c r="E1042" s="700" t="s">
        <v>276</v>
      </c>
      <c r="F1042" s="701"/>
      <c r="G1042" s="701"/>
      <c r="I1042" s="332"/>
      <c r="J1042" s="875">
        <v>0</v>
      </c>
      <c r="K1042" s="703"/>
      <c r="L1042" s="670" t="s">
        <v>475</v>
      </c>
      <c r="P1042" s="589"/>
      <c r="Q1042" s="703"/>
    </row>
    <row r="1043" spans="1:17">
      <c r="A1043" s="693"/>
      <c r="B1043" s="332"/>
      <c r="C1043" s="700" t="s">
        <v>277</v>
      </c>
      <c r="D1043" s="1257">
        <v>12</v>
      </c>
      <c r="E1043" s="700" t="s">
        <v>278</v>
      </c>
      <c r="F1043" s="701"/>
      <c r="G1043" s="701"/>
      <c r="I1043" s="332"/>
      <c r="J1043" s="704">
        <f>$F$70</f>
        <v>0.1009634410531228</v>
      </c>
      <c r="K1043" s="705"/>
      <c r="L1043" s="541" t="str">
        <f>"          INPUT TRUE-UP ARR (WITH &amp; WITHOUT INCENTIVES) FROM EACH PRIOR YEAR"</f>
        <v xml:space="preserve">          INPUT TRUE-UP ARR (WITH &amp; WITHOUT INCENTIVES) FROM EACH PRIOR YEAR</v>
      </c>
      <c r="P1043" s="589"/>
      <c r="Q1043" s="705"/>
    </row>
    <row r="1044" spans="1:17">
      <c r="A1044" s="693"/>
      <c r="B1044" s="332"/>
      <c r="C1044" s="700" t="s">
        <v>279</v>
      </c>
      <c r="D1044" s="706">
        <f>H79</f>
        <v>46</v>
      </c>
      <c r="E1044" s="700" t="s">
        <v>280</v>
      </c>
      <c r="F1044" s="701"/>
      <c r="G1044" s="701"/>
      <c r="I1044" s="332"/>
      <c r="J1044" s="704">
        <f>IF(H1035="",J1043,$F$69)</f>
        <v>0.1009634410531228</v>
      </c>
      <c r="K1044" s="707"/>
      <c r="L1044" s="541" t="s">
        <v>362</v>
      </c>
      <c r="M1044" s="707"/>
      <c r="N1044" s="707"/>
      <c r="O1044" s="707"/>
      <c r="P1044" s="589"/>
      <c r="Q1044" s="707"/>
    </row>
    <row r="1045" spans="1:17" ht="13.5" thickBot="1">
      <c r="A1045" s="693"/>
      <c r="B1045" s="332"/>
      <c r="C1045" s="700" t="s">
        <v>281</v>
      </c>
      <c r="D1045" s="874" t="s">
        <v>974</v>
      </c>
      <c r="E1045" s="708" t="s">
        <v>282</v>
      </c>
      <c r="F1045" s="709"/>
      <c r="G1045" s="709"/>
      <c r="H1045" s="710"/>
      <c r="I1045" s="710"/>
      <c r="J1045" s="686">
        <f>IF(D1041=0,0,D1041/D1044)</f>
        <v>208309.99021739131</v>
      </c>
      <c r="K1045" s="670"/>
      <c r="L1045" s="670" t="s">
        <v>363</v>
      </c>
      <c r="M1045" s="670"/>
      <c r="N1045" s="670"/>
      <c r="O1045" s="670"/>
      <c r="P1045" s="589"/>
      <c r="Q1045" s="670"/>
    </row>
    <row r="1046" spans="1:17" ht="38.25">
      <c r="A1046" s="528"/>
      <c r="B1046" s="528"/>
      <c r="C1046" s="711" t="s">
        <v>272</v>
      </c>
      <c r="D1046" s="712" t="s">
        <v>283</v>
      </c>
      <c r="E1046" s="713" t="s">
        <v>284</v>
      </c>
      <c r="F1046" s="712" t="s">
        <v>285</v>
      </c>
      <c r="G1046" s="712" t="s">
        <v>458</v>
      </c>
      <c r="H1046" s="713" t="s">
        <v>356</v>
      </c>
      <c r="I1046" s="714" t="s">
        <v>356</v>
      </c>
      <c r="J1046" s="711" t="s">
        <v>295</v>
      </c>
      <c r="K1046" s="715"/>
      <c r="L1046" s="713" t="s">
        <v>358</v>
      </c>
      <c r="M1046" s="713" t="s">
        <v>364</v>
      </c>
      <c r="N1046" s="713" t="s">
        <v>358</v>
      </c>
      <c r="O1046" s="713" t="s">
        <v>366</v>
      </c>
      <c r="P1046" s="713" t="s">
        <v>286</v>
      </c>
      <c r="Q1046" s="716"/>
    </row>
    <row r="1047" spans="1:17" ht="13.5" thickBot="1">
      <c r="B1047" s="332"/>
      <c r="C1047" s="717" t="s">
        <v>177</v>
      </c>
      <c r="D1047" s="718" t="s">
        <v>178</v>
      </c>
      <c r="E1047" s="717" t="s">
        <v>37</v>
      </c>
      <c r="F1047" s="718" t="s">
        <v>178</v>
      </c>
      <c r="G1047" s="718" t="s">
        <v>178</v>
      </c>
      <c r="H1047" s="719" t="s">
        <v>298</v>
      </c>
      <c r="I1047" s="720" t="s">
        <v>300</v>
      </c>
      <c r="J1047" s="721" t="s">
        <v>389</v>
      </c>
      <c r="K1047" s="722"/>
      <c r="L1047" s="719" t="s">
        <v>287</v>
      </c>
      <c r="M1047" s="719" t="s">
        <v>287</v>
      </c>
      <c r="N1047" s="719" t="s">
        <v>467</v>
      </c>
      <c r="O1047" s="719" t="s">
        <v>467</v>
      </c>
      <c r="P1047" s="719" t="s">
        <v>467</v>
      </c>
      <c r="Q1047" s="587"/>
    </row>
    <row r="1048" spans="1:17">
      <c r="B1048" s="332"/>
      <c r="C1048" s="723">
        <f>IF(D1042= "","-",D1042)</f>
        <v>2017</v>
      </c>
      <c r="D1048" s="674">
        <f>+D1041</f>
        <v>9582259.5500000007</v>
      </c>
      <c r="E1048" s="724">
        <f>+J1045/12*(12-D1043)</f>
        <v>0</v>
      </c>
      <c r="F1048" s="770">
        <f t="shared" ref="F1048:F1107" si="96">+D1048-E1048</f>
        <v>9582259.5500000007</v>
      </c>
      <c r="G1048" s="674">
        <f t="shared" ref="G1048:G1107" si="97">+(D1048+F1048)/2</f>
        <v>9582259.5500000007</v>
      </c>
      <c r="H1048" s="725">
        <f>+J1043*G1048+E1048</f>
        <v>967457.8972321481</v>
      </c>
      <c r="I1048" s="726">
        <f>+J1044*G1048+E1048</f>
        <v>967457.8972321481</v>
      </c>
      <c r="J1048" s="727">
        <f t="shared" ref="J1048:J1107" si="98">+I1048-H1048</f>
        <v>0</v>
      </c>
      <c r="K1048" s="727"/>
      <c r="L1048" s="728">
        <v>0</v>
      </c>
      <c r="M1048" s="771">
        <f t="shared" ref="M1048:M1107" si="99">IF(L1048&lt;&gt;0,+H1048-L1048,0)</f>
        <v>0</v>
      </c>
      <c r="N1048" s="728">
        <v>0</v>
      </c>
      <c r="O1048" s="771">
        <f t="shared" ref="O1048:O1107" si="100">IF(N1048&lt;&gt;0,+I1048-N1048,0)</f>
        <v>0</v>
      </c>
      <c r="P1048" s="771">
        <f t="shared" ref="P1048:P1107" si="101">+O1048-M1048</f>
        <v>0</v>
      </c>
      <c r="Q1048" s="675"/>
    </row>
    <row r="1049" spans="1:17">
      <c r="B1049" s="332"/>
      <c r="C1049" s="723">
        <f>IF(D1042="","-",+C1048+1)</f>
        <v>2018</v>
      </c>
      <c r="D1049" s="1453">
        <f t="shared" ref="D1049:D1107" si="102">F1048</f>
        <v>9582259.5500000007</v>
      </c>
      <c r="E1049" s="730">
        <f>IF(D1049&gt;$J$1045,$J$1045,D1049)</f>
        <v>208309.99021739131</v>
      </c>
      <c r="F1049" s="730">
        <f t="shared" si="96"/>
        <v>9373949.5597826093</v>
      </c>
      <c r="G1049" s="674">
        <f t="shared" si="97"/>
        <v>9478104.554891305</v>
      </c>
      <c r="H1049" s="724">
        <f>+J1043*G1049+E1049</f>
        <v>1165252.0407404944</v>
      </c>
      <c r="I1049" s="731">
        <f>+J1044*G1049+E1049</f>
        <v>1165252.0407404944</v>
      </c>
      <c r="J1049" s="727">
        <f t="shared" si="98"/>
        <v>0</v>
      </c>
      <c r="K1049" s="727"/>
      <c r="L1049" s="732">
        <v>1174872</v>
      </c>
      <c r="M1049" s="727">
        <f t="shared" si="99"/>
        <v>-9619.9592595056165</v>
      </c>
      <c r="N1049" s="732">
        <v>1174872</v>
      </c>
      <c r="O1049" s="727">
        <f t="shared" si="100"/>
        <v>-9619.9592595056165</v>
      </c>
      <c r="P1049" s="727">
        <f t="shared" si="101"/>
        <v>0</v>
      </c>
      <c r="Q1049" s="675"/>
    </row>
    <row r="1050" spans="1:17">
      <c r="B1050" s="332"/>
      <c r="C1050" s="723">
        <f>IF(D1042="","-",+C1049+1)</f>
        <v>2019</v>
      </c>
      <c r="D1050" s="1270">
        <f t="shared" si="102"/>
        <v>9373949.5597826093</v>
      </c>
      <c r="E1050" s="730">
        <f t="shared" ref="E1050:E1107" si="103">IF(D1050&gt;$J$1045,$J$1045,D1050)</f>
        <v>208309.99021739131</v>
      </c>
      <c r="F1050" s="730">
        <f t="shared" si="96"/>
        <v>9165639.5695652179</v>
      </c>
      <c r="G1050" s="674">
        <f t="shared" si="97"/>
        <v>9269794.5646739136</v>
      </c>
      <c r="H1050" s="724">
        <f>+J1043*G1050+E1050</f>
        <v>1144220.3473224042</v>
      </c>
      <c r="I1050" s="731">
        <f>+J1044*G1050+E1050</f>
        <v>1144220.3473224042</v>
      </c>
      <c r="J1050" s="727">
        <f t="shared" si="98"/>
        <v>0</v>
      </c>
      <c r="K1050" s="727"/>
      <c r="L1050" s="732">
        <v>1181808</v>
      </c>
      <c r="M1050" s="727">
        <f t="shared" si="99"/>
        <v>-37587.652677595848</v>
      </c>
      <c r="N1050" s="732">
        <v>1181808</v>
      </c>
      <c r="O1050" s="727">
        <f t="shared" si="100"/>
        <v>-37587.652677595848</v>
      </c>
      <c r="P1050" s="727">
        <f t="shared" si="101"/>
        <v>0</v>
      </c>
      <c r="Q1050" s="675"/>
    </row>
    <row r="1051" spans="1:17">
      <c r="B1051" s="332"/>
      <c r="C1051" s="723">
        <f>IF(D1042="","-",+C1050+1)</f>
        <v>2020</v>
      </c>
      <c r="D1051" s="1270">
        <f t="shared" si="102"/>
        <v>9165639.5695652179</v>
      </c>
      <c r="E1051" s="730">
        <f t="shared" si="103"/>
        <v>208309.99021739131</v>
      </c>
      <c r="F1051" s="730">
        <f t="shared" si="96"/>
        <v>8957329.5793478265</v>
      </c>
      <c r="G1051" s="674">
        <f t="shared" si="97"/>
        <v>9061484.5744565222</v>
      </c>
      <c r="H1051" s="724">
        <f>+J1043*G1051+E1051</f>
        <v>1123188.6539043139</v>
      </c>
      <c r="I1051" s="731">
        <f>+J1044*G1051+E1051</f>
        <v>1123188.6539043139</v>
      </c>
      <c r="J1051" s="727">
        <f t="shared" si="98"/>
        <v>0</v>
      </c>
      <c r="K1051" s="727"/>
      <c r="L1051" s="732">
        <v>1110564.6850760612</v>
      </c>
      <c r="M1051" s="727">
        <f t="shared" si="99"/>
        <v>12623.96882825275</v>
      </c>
      <c r="N1051" s="732">
        <v>1110564.6850760612</v>
      </c>
      <c r="O1051" s="727">
        <f t="shared" si="100"/>
        <v>12623.96882825275</v>
      </c>
      <c r="P1051" s="727">
        <f t="shared" si="101"/>
        <v>0</v>
      </c>
      <c r="Q1051" s="675"/>
    </row>
    <row r="1052" spans="1:17">
      <c r="B1052" s="332"/>
      <c r="C1052" s="723">
        <f>IF(D1042="","-",+C1051+1)</f>
        <v>2021</v>
      </c>
      <c r="D1052" s="1270">
        <f t="shared" si="102"/>
        <v>8957329.5793478265</v>
      </c>
      <c r="E1052" s="730">
        <f t="shared" si="103"/>
        <v>208309.99021739131</v>
      </c>
      <c r="F1052" s="730">
        <f t="shared" si="96"/>
        <v>8749019.5891304351</v>
      </c>
      <c r="G1052" s="674">
        <f t="shared" si="97"/>
        <v>8853174.5842391308</v>
      </c>
      <c r="H1052" s="724">
        <f>+J1043*G1052+E1052</f>
        <v>1102156.9604862237</v>
      </c>
      <c r="I1052" s="731">
        <f>+J1044*G1052+E1052</f>
        <v>1102156.9604862237</v>
      </c>
      <c r="J1052" s="727">
        <f t="shared" si="98"/>
        <v>0</v>
      </c>
      <c r="K1052" s="727"/>
      <c r="L1052" s="732">
        <v>0</v>
      </c>
      <c r="M1052" s="727">
        <f t="shared" si="99"/>
        <v>0</v>
      </c>
      <c r="N1052" s="732">
        <v>0</v>
      </c>
      <c r="O1052" s="727">
        <f t="shared" si="100"/>
        <v>0</v>
      </c>
      <c r="P1052" s="727">
        <f t="shared" si="101"/>
        <v>0</v>
      </c>
      <c r="Q1052" s="675"/>
    </row>
    <row r="1053" spans="1:17">
      <c r="B1053" s="332"/>
      <c r="C1053" s="723">
        <f>IF(D1042="","-",+C1052+1)</f>
        <v>2022</v>
      </c>
      <c r="D1053" s="674">
        <f t="shared" si="102"/>
        <v>8749019.5891304351</v>
      </c>
      <c r="E1053" s="730">
        <f t="shared" si="103"/>
        <v>208309.99021739131</v>
      </c>
      <c r="F1053" s="730">
        <f t="shared" si="96"/>
        <v>8540709.5989130437</v>
      </c>
      <c r="G1053" s="674">
        <f t="shared" si="97"/>
        <v>8644864.5940217394</v>
      </c>
      <c r="H1053" s="724">
        <f>+J1043*G1053+E1053</f>
        <v>1081125.2670681337</v>
      </c>
      <c r="I1053" s="731">
        <f>+J1044*G1053+E1053</f>
        <v>1081125.2670681337</v>
      </c>
      <c r="J1053" s="727">
        <f t="shared" si="98"/>
        <v>0</v>
      </c>
      <c r="K1053" s="727"/>
      <c r="L1053" s="732">
        <v>0</v>
      </c>
      <c r="M1053" s="727">
        <f t="shared" si="99"/>
        <v>0</v>
      </c>
      <c r="N1053" s="732">
        <v>0</v>
      </c>
      <c r="O1053" s="727">
        <f t="shared" si="100"/>
        <v>0</v>
      </c>
      <c r="P1053" s="727">
        <f t="shared" si="101"/>
        <v>0</v>
      </c>
      <c r="Q1053" s="675"/>
    </row>
    <row r="1054" spans="1:17">
      <c r="B1054" s="332"/>
      <c r="C1054" s="723">
        <f>IF(D1042="","-",+C1053+1)</f>
        <v>2023</v>
      </c>
      <c r="D1054" s="674">
        <f t="shared" si="102"/>
        <v>8540709.5989130437</v>
      </c>
      <c r="E1054" s="730">
        <f t="shared" si="103"/>
        <v>208309.99021739131</v>
      </c>
      <c r="F1054" s="730">
        <f t="shared" si="96"/>
        <v>8332399.6086956523</v>
      </c>
      <c r="G1054" s="674">
        <f t="shared" si="97"/>
        <v>8436554.603804348</v>
      </c>
      <c r="H1054" s="724">
        <f>+J1043*G1054+E1054</f>
        <v>1060093.5736500435</v>
      </c>
      <c r="I1054" s="731">
        <f>+J1044*G1054+E1054</f>
        <v>1060093.5736500435</v>
      </c>
      <c r="J1054" s="727">
        <f t="shared" si="98"/>
        <v>0</v>
      </c>
      <c r="K1054" s="727"/>
      <c r="L1054" s="732">
        <v>0</v>
      </c>
      <c r="M1054" s="727">
        <f t="shared" si="99"/>
        <v>0</v>
      </c>
      <c r="N1054" s="732">
        <v>0</v>
      </c>
      <c r="O1054" s="727">
        <f t="shared" si="100"/>
        <v>0</v>
      </c>
      <c r="P1054" s="727">
        <f t="shared" si="101"/>
        <v>0</v>
      </c>
      <c r="Q1054" s="675"/>
    </row>
    <row r="1055" spans="1:17">
      <c r="B1055" s="332"/>
      <c r="C1055" s="723">
        <f>IF(D1042="","-",+C1054+1)</f>
        <v>2024</v>
      </c>
      <c r="D1055" s="674">
        <f t="shared" si="102"/>
        <v>8332399.6086956523</v>
      </c>
      <c r="E1055" s="730">
        <f t="shared" si="103"/>
        <v>208309.99021739131</v>
      </c>
      <c r="F1055" s="730">
        <f t="shared" si="96"/>
        <v>8124089.6184782609</v>
      </c>
      <c r="G1055" s="674">
        <f t="shared" si="97"/>
        <v>8228244.6135869566</v>
      </c>
      <c r="H1055" s="724">
        <f>+J1043*G1055+E1055</f>
        <v>1039061.8802319531</v>
      </c>
      <c r="I1055" s="731">
        <f>+J1044*G1055+E1055</f>
        <v>1039061.8802319531</v>
      </c>
      <c r="J1055" s="727">
        <f t="shared" si="98"/>
        <v>0</v>
      </c>
      <c r="K1055" s="727"/>
      <c r="L1055" s="732">
        <v>0</v>
      </c>
      <c r="M1055" s="727">
        <f t="shared" si="99"/>
        <v>0</v>
      </c>
      <c r="N1055" s="732">
        <v>0</v>
      </c>
      <c r="O1055" s="727">
        <f t="shared" si="100"/>
        <v>0</v>
      </c>
      <c r="P1055" s="727">
        <f t="shared" si="101"/>
        <v>0</v>
      </c>
      <c r="Q1055" s="675"/>
    </row>
    <row r="1056" spans="1:17">
      <c r="B1056" s="332"/>
      <c r="C1056" s="723">
        <f>IF(D1042="","-",+C1055+1)</f>
        <v>2025</v>
      </c>
      <c r="D1056" s="674">
        <f t="shared" si="102"/>
        <v>8124089.6184782609</v>
      </c>
      <c r="E1056" s="730">
        <f t="shared" si="103"/>
        <v>208309.99021739131</v>
      </c>
      <c r="F1056" s="730">
        <f t="shared" si="96"/>
        <v>7915779.6282608695</v>
      </c>
      <c r="G1056" s="674">
        <f t="shared" si="97"/>
        <v>8019934.6233695652</v>
      </c>
      <c r="H1056" s="724">
        <f>+J1043*G1056+E1056</f>
        <v>1018030.186813863</v>
      </c>
      <c r="I1056" s="731">
        <f>+J1044*G1056+E1056</f>
        <v>1018030.186813863</v>
      </c>
      <c r="J1056" s="727">
        <f t="shared" si="98"/>
        <v>0</v>
      </c>
      <c r="K1056" s="727"/>
      <c r="L1056" s="732">
        <v>0</v>
      </c>
      <c r="M1056" s="727">
        <f t="shared" si="99"/>
        <v>0</v>
      </c>
      <c r="N1056" s="732">
        <v>0</v>
      </c>
      <c r="O1056" s="727">
        <f t="shared" si="100"/>
        <v>0</v>
      </c>
      <c r="P1056" s="727">
        <f t="shared" si="101"/>
        <v>0</v>
      </c>
      <c r="Q1056" s="675"/>
    </row>
    <row r="1057" spans="2:17">
      <c r="B1057" s="332"/>
      <c r="C1057" s="723">
        <f>IF(D1042="","-",+C1056+1)</f>
        <v>2026</v>
      </c>
      <c r="D1057" s="674">
        <f t="shared" si="102"/>
        <v>7915779.6282608695</v>
      </c>
      <c r="E1057" s="730">
        <f t="shared" si="103"/>
        <v>208309.99021739131</v>
      </c>
      <c r="F1057" s="730">
        <f t="shared" si="96"/>
        <v>7707469.6380434781</v>
      </c>
      <c r="G1057" s="674">
        <f t="shared" si="97"/>
        <v>7811624.6331521738</v>
      </c>
      <c r="H1057" s="724">
        <f>+J1043*G1057+E1057</f>
        <v>996998.49339577276</v>
      </c>
      <c r="I1057" s="731">
        <f>+J1044*G1057+E1057</f>
        <v>996998.49339577276</v>
      </c>
      <c r="J1057" s="727">
        <f t="shared" si="98"/>
        <v>0</v>
      </c>
      <c r="K1057" s="727"/>
      <c r="L1057" s="732">
        <v>0</v>
      </c>
      <c r="M1057" s="727">
        <f t="shared" si="99"/>
        <v>0</v>
      </c>
      <c r="N1057" s="732">
        <v>0</v>
      </c>
      <c r="O1057" s="727">
        <f t="shared" si="100"/>
        <v>0</v>
      </c>
      <c r="P1057" s="727">
        <f t="shared" si="101"/>
        <v>0</v>
      </c>
      <c r="Q1057" s="675"/>
    </row>
    <row r="1058" spans="2:17">
      <c r="B1058" s="332"/>
      <c r="C1058" s="723">
        <f>IF(D1042="","-",+C1057+1)</f>
        <v>2027</v>
      </c>
      <c r="D1058" s="674">
        <f t="shared" si="102"/>
        <v>7707469.6380434781</v>
      </c>
      <c r="E1058" s="730">
        <f t="shared" si="103"/>
        <v>208309.99021739131</v>
      </c>
      <c r="F1058" s="730">
        <f t="shared" si="96"/>
        <v>7499159.6478260867</v>
      </c>
      <c r="G1058" s="674">
        <f t="shared" si="97"/>
        <v>7603314.6429347824</v>
      </c>
      <c r="H1058" s="724">
        <f>+J1043*G1058+E1058</f>
        <v>975966.79997768265</v>
      </c>
      <c r="I1058" s="731">
        <f>+J1044*G1058+E1058</f>
        <v>975966.79997768265</v>
      </c>
      <c r="J1058" s="727">
        <f t="shared" si="98"/>
        <v>0</v>
      </c>
      <c r="K1058" s="727"/>
      <c r="L1058" s="732">
        <v>0</v>
      </c>
      <c r="M1058" s="727">
        <f t="shared" si="99"/>
        <v>0</v>
      </c>
      <c r="N1058" s="732">
        <v>0</v>
      </c>
      <c r="O1058" s="727">
        <f t="shared" si="100"/>
        <v>0</v>
      </c>
      <c r="P1058" s="727">
        <f t="shared" si="101"/>
        <v>0</v>
      </c>
      <c r="Q1058" s="675"/>
    </row>
    <row r="1059" spans="2:17">
      <c r="B1059" s="332"/>
      <c r="C1059" s="723">
        <f>IF(D1042="","-",+C1058+1)</f>
        <v>2028</v>
      </c>
      <c r="D1059" s="674">
        <f t="shared" si="102"/>
        <v>7499159.6478260867</v>
      </c>
      <c r="E1059" s="730">
        <f t="shared" si="103"/>
        <v>208309.99021739131</v>
      </c>
      <c r="F1059" s="730">
        <f t="shared" si="96"/>
        <v>7290849.6576086953</v>
      </c>
      <c r="G1059" s="674">
        <f t="shared" si="97"/>
        <v>7395004.652717391</v>
      </c>
      <c r="H1059" s="724">
        <f>+J1043*G1059+E1059</f>
        <v>954935.10655959242</v>
      </c>
      <c r="I1059" s="731">
        <f>+J1044*G1059+E1059</f>
        <v>954935.10655959242</v>
      </c>
      <c r="J1059" s="727">
        <f t="shared" si="98"/>
        <v>0</v>
      </c>
      <c r="K1059" s="727"/>
      <c r="L1059" s="732"/>
      <c r="M1059" s="727">
        <f t="shared" si="99"/>
        <v>0</v>
      </c>
      <c r="N1059" s="732"/>
      <c r="O1059" s="727">
        <f t="shared" si="100"/>
        <v>0</v>
      </c>
      <c r="P1059" s="727">
        <f t="shared" si="101"/>
        <v>0</v>
      </c>
      <c r="Q1059" s="675"/>
    </row>
    <row r="1060" spans="2:17">
      <c r="B1060" s="332"/>
      <c r="C1060" s="723">
        <f>IF(D1042="","-",+C1059+1)</f>
        <v>2029</v>
      </c>
      <c r="D1060" s="674">
        <f t="shared" si="102"/>
        <v>7290849.6576086953</v>
      </c>
      <c r="E1060" s="730">
        <f t="shared" si="103"/>
        <v>208309.99021739131</v>
      </c>
      <c r="F1060" s="730">
        <f t="shared" si="96"/>
        <v>7082539.6673913039</v>
      </c>
      <c r="G1060" s="674">
        <f t="shared" si="97"/>
        <v>7186694.6624999996</v>
      </c>
      <c r="H1060" s="724">
        <f>+J1043*G1060+E1060</f>
        <v>933903.4131415023</v>
      </c>
      <c r="I1060" s="731">
        <f>+J1044*G1060+E1060</f>
        <v>933903.4131415023</v>
      </c>
      <c r="J1060" s="727">
        <f t="shared" si="98"/>
        <v>0</v>
      </c>
      <c r="K1060" s="727"/>
      <c r="L1060" s="732"/>
      <c r="M1060" s="727">
        <f t="shared" si="99"/>
        <v>0</v>
      </c>
      <c r="N1060" s="732"/>
      <c r="O1060" s="727">
        <f t="shared" si="100"/>
        <v>0</v>
      </c>
      <c r="P1060" s="727">
        <f t="shared" si="101"/>
        <v>0</v>
      </c>
      <c r="Q1060" s="675"/>
    </row>
    <row r="1061" spans="2:17">
      <c r="B1061" s="332"/>
      <c r="C1061" s="723">
        <f>IF(D1042="","-",+C1060+1)</f>
        <v>2030</v>
      </c>
      <c r="D1061" s="674">
        <f t="shared" si="102"/>
        <v>7082539.6673913039</v>
      </c>
      <c r="E1061" s="730">
        <f t="shared" si="103"/>
        <v>208309.99021739131</v>
      </c>
      <c r="F1061" s="730">
        <f t="shared" si="96"/>
        <v>6874229.6771739125</v>
      </c>
      <c r="G1061" s="674">
        <f t="shared" si="97"/>
        <v>6978384.6722826082</v>
      </c>
      <c r="H1061" s="724">
        <f>+J1043*G1061+E1061</f>
        <v>912871.71972341207</v>
      </c>
      <c r="I1061" s="731">
        <f>+J1044*G1061+E1061</f>
        <v>912871.71972341207</v>
      </c>
      <c r="J1061" s="727">
        <f t="shared" si="98"/>
        <v>0</v>
      </c>
      <c r="K1061" s="727"/>
      <c r="L1061" s="732"/>
      <c r="M1061" s="727">
        <f t="shared" si="99"/>
        <v>0</v>
      </c>
      <c r="N1061" s="732"/>
      <c r="O1061" s="727">
        <f t="shared" si="100"/>
        <v>0</v>
      </c>
      <c r="P1061" s="727">
        <f t="shared" si="101"/>
        <v>0</v>
      </c>
      <c r="Q1061" s="675"/>
    </row>
    <row r="1062" spans="2:17">
      <c r="B1062" s="332"/>
      <c r="C1062" s="723">
        <f>IF(D1042="","-",+C1061+1)</f>
        <v>2031</v>
      </c>
      <c r="D1062" s="674">
        <f t="shared" si="102"/>
        <v>6874229.6771739125</v>
      </c>
      <c r="E1062" s="730">
        <f t="shared" si="103"/>
        <v>208309.99021739131</v>
      </c>
      <c r="F1062" s="730">
        <f t="shared" si="96"/>
        <v>6665919.6869565211</v>
      </c>
      <c r="G1062" s="674">
        <f t="shared" si="97"/>
        <v>6770074.6820652168</v>
      </c>
      <c r="H1062" s="724">
        <f>+J1043*G1062+E1062</f>
        <v>891840.02630532184</v>
      </c>
      <c r="I1062" s="731">
        <f>+J1044*G1062+E1062</f>
        <v>891840.02630532184</v>
      </c>
      <c r="J1062" s="727">
        <f t="shared" si="98"/>
        <v>0</v>
      </c>
      <c r="K1062" s="727"/>
      <c r="L1062" s="732"/>
      <c r="M1062" s="727">
        <f t="shared" si="99"/>
        <v>0</v>
      </c>
      <c r="N1062" s="732"/>
      <c r="O1062" s="727">
        <f t="shared" si="100"/>
        <v>0</v>
      </c>
      <c r="P1062" s="727">
        <f t="shared" si="101"/>
        <v>0</v>
      </c>
      <c r="Q1062" s="675"/>
    </row>
    <row r="1063" spans="2:17">
      <c r="B1063" s="332"/>
      <c r="C1063" s="723">
        <f>IF(D1042="","-",+C1062+1)</f>
        <v>2032</v>
      </c>
      <c r="D1063" s="674">
        <f t="shared" si="102"/>
        <v>6665919.6869565211</v>
      </c>
      <c r="E1063" s="730">
        <f t="shared" si="103"/>
        <v>208309.99021739131</v>
      </c>
      <c r="F1063" s="730">
        <f t="shared" si="96"/>
        <v>6457609.6967391297</v>
      </c>
      <c r="G1063" s="674">
        <f t="shared" si="97"/>
        <v>6561764.6918478254</v>
      </c>
      <c r="H1063" s="724">
        <f>+J1043*G1063+E1063</f>
        <v>870808.33288723172</v>
      </c>
      <c r="I1063" s="731">
        <f>+J1044*G1063+E1063</f>
        <v>870808.33288723172</v>
      </c>
      <c r="J1063" s="727">
        <f t="shared" si="98"/>
        <v>0</v>
      </c>
      <c r="K1063" s="727"/>
      <c r="L1063" s="732"/>
      <c r="M1063" s="727">
        <f t="shared" si="99"/>
        <v>0</v>
      </c>
      <c r="N1063" s="732"/>
      <c r="O1063" s="727">
        <f t="shared" si="100"/>
        <v>0</v>
      </c>
      <c r="P1063" s="727">
        <f t="shared" si="101"/>
        <v>0</v>
      </c>
      <c r="Q1063" s="675"/>
    </row>
    <row r="1064" spans="2:17">
      <c r="B1064" s="332"/>
      <c r="C1064" s="723">
        <f>IF(D1042="","-",+C1063+1)</f>
        <v>2033</v>
      </c>
      <c r="D1064" s="674">
        <f t="shared" si="102"/>
        <v>6457609.6967391297</v>
      </c>
      <c r="E1064" s="730">
        <f t="shared" si="103"/>
        <v>208309.99021739131</v>
      </c>
      <c r="F1064" s="730">
        <f t="shared" si="96"/>
        <v>6249299.7065217383</v>
      </c>
      <c r="G1064" s="674">
        <f t="shared" si="97"/>
        <v>6353454.701630434</v>
      </c>
      <c r="H1064" s="724">
        <f>+J1043*G1064+E1064</f>
        <v>849776.63946914149</v>
      </c>
      <c r="I1064" s="731">
        <f>+J1044*G1064+E1064</f>
        <v>849776.63946914149</v>
      </c>
      <c r="J1064" s="727">
        <f t="shared" si="98"/>
        <v>0</v>
      </c>
      <c r="K1064" s="727"/>
      <c r="L1064" s="732"/>
      <c r="M1064" s="727">
        <f t="shared" si="99"/>
        <v>0</v>
      </c>
      <c r="N1064" s="732"/>
      <c r="O1064" s="727">
        <f t="shared" si="100"/>
        <v>0</v>
      </c>
      <c r="P1064" s="727">
        <f t="shared" si="101"/>
        <v>0</v>
      </c>
      <c r="Q1064" s="675"/>
    </row>
    <row r="1065" spans="2:17">
      <c r="B1065" s="332"/>
      <c r="C1065" s="723">
        <f>IF(D1042="","-",+C1064+1)</f>
        <v>2034</v>
      </c>
      <c r="D1065" s="674">
        <f t="shared" si="102"/>
        <v>6249299.7065217383</v>
      </c>
      <c r="E1065" s="730">
        <f t="shared" si="103"/>
        <v>208309.99021739131</v>
      </c>
      <c r="F1065" s="730">
        <f t="shared" si="96"/>
        <v>6040989.7163043469</v>
      </c>
      <c r="G1065" s="674">
        <f t="shared" si="97"/>
        <v>6145144.7114130426</v>
      </c>
      <c r="H1065" s="724">
        <f>+J1043*G1065+E1065</f>
        <v>828744.94605105137</v>
      </c>
      <c r="I1065" s="731">
        <f>+J1044*G1065+E1065</f>
        <v>828744.94605105137</v>
      </c>
      <c r="J1065" s="727">
        <f t="shared" si="98"/>
        <v>0</v>
      </c>
      <c r="K1065" s="727"/>
      <c r="L1065" s="732"/>
      <c r="M1065" s="727">
        <f t="shared" si="99"/>
        <v>0</v>
      </c>
      <c r="N1065" s="732"/>
      <c r="O1065" s="727">
        <f t="shared" si="100"/>
        <v>0</v>
      </c>
      <c r="P1065" s="727">
        <f t="shared" si="101"/>
        <v>0</v>
      </c>
      <c r="Q1065" s="675"/>
    </row>
    <row r="1066" spans="2:17">
      <c r="B1066" s="332"/>
      <c r="C1066" s="723">
        <f>IF(D1042="","-",+C1065+1)</f>
        <v>2035</v>
      </c>
      <c r="D1066" s="674">
        <f t="shared" si="102"/>
        <v>6040989.7163043469</v>
      </c>
      <c r="E1066" s="730">
        <f t="shared" si="103"/>
        <v>208309.99021739131</v>
      </c>
      <c r="F1066" s="730">
        <f t="shared" si="96"/>
        <v>5832679.7260869555</v>
      </c>
      <c r="G1066" s="674">
        <f t="shared" si="97"/>
        <v>5936834.7211956512</v>
      </c>
      <c r="H1066" s="724">
        <f>+J1043*G1066+E1066</f>
        <v>807713.25263296114</v>
      </c>
      <c r="I1066" s="731">
        <f>+J1044*G1066+E1066</f>
        <v>807713.25263296114</v>
      </c>
      <c r="J1066" s="727">
        <f t="shared" si="98"/>
        <v>0</v>
      </c>
      <c r="K1066" s="727"/>
      <c r="L1066" s="732"/>
      <c r="M1066" s="727">
        <f t="shared" si="99"/>
        <v>0</v>
      </c>
      <c r="N1066" s="732"/>
      <c r="O1066" s="727">
        <f t="shared" si="100"/>
        <v>0</v>
      </c>
      <c r="P1066" s="727">
        <f t="shared" si="101"/>
        <v>0</v>
      </c>
      <c r="Q1066" s="675"/>
    </row>
    <row r="1067" spans="2:17">
      <c r="B1067" s="332"/>
      <c r="C1067" s="723">
        <f>IF(D1042="","-",+C1066+1)</f>
        <v>2036</v>
      </c>
      <c r="D1067" s="674">
        <f t="shared" si="102"/>
        <v>5832679.7260869555</v>
      </c>
      <c r="E1067" s="730">
        <f t="shared" si="103"/>
        <v>208309.99021739131</v>
      </c>
      <c r="F1067" s="730">
        <f t="shared" si="96"/>
        <v>5624369.7358695641</v>
      </c>
      <c r="G1067" s="674">
        <f t="shared" si="97"/>
        <v>5728524.7309782598</v>
      </c>
      <c r="H1067" s="724">
        <f>+J1043*G1067+E1067</f>
        <v>786681.55921487091</v>
      </c>
      <c r="I1067" s="731">
        <f>+J1044*G1067+E1067</f>
        <v>786681.55921487091</v>
      </c>
      <c r="J1067" s="727">
        <f t="shared" si="98"/>
        <v>0</v>
      </c>
      <c r="K1067" s="727"/>
      <c r="L1067" s="732"/>
      <c r="M1067" s="727">
        <f t="shared" si="99"/>
        <v>0</v>
      </c>
      <c r="N1067" s="732"/>
      <c r="O1067" s="727">
        <f t="shared" si="100"/>
        <v>0</v>
      </c>
      <c r="P1067" s="727">
        <f t="shared" si="101"/>
        <v>0</v>
      </c>
      <c r="Q1067" s="675"/>
    </row>
    <row r="1068" spans="2:17">
      <c r="B1068" s="332"/>
      <c r="C1068" s="723">
        <f>IF(D1042="","-",+C1067+1)</f>
        <v>2037</v>
      </c>
      <c r="D1068" s="674">
        <f t="shared" si="102"/>
        <v>5624369.7358695641</v>
      </c>
      <c r="E1068" s="730">
        <f t="shared" si="103"/>
        <v>208309.99021739131</v>
      </c>
      <c r="F1068" s="730">
        <f t="shared" si="96"/>
        <v>5416059.7456521727</v>
      </c>
      <c r="G1068" s="674">
        <f t="shared" si="97"/>
        <v>5520214.7407608684</v>
      </c>
      <c r="H1068" s="724">
        <f>+J1043*G1068+E1068</f>
        <v>765649.8657967808</v>
      </c>
      <c r="I1068" s="731">
        <f>+J1044*G1068+E1068</f>
        <v>765649.8657967808</v>
      </c>
      <c r="J1068" s="727">
        <f t="shared" si="98"/>
        <v>0</v>
      </c>
      <c r="K1068" s="727"/>
      <c r="L1068" s="732"/>
      <c r="M1068" s="727">
        <f t="shared" si="99"/>
        <v>0</v>
      </c>
      <c r="N1068" s="732"/>
      <c r="O1068" s="727">
        <f t="shared" si="100"/>
        <v>0</v>
      </c>
      <c r="P1068" s="727">
        <f t="shared" si="101"/>
        <v>0</v>
      </c>
      <c r="Q1068" s="675"/>
    </row>
    <row r="1069" spans="2:17">
      <c r="B1069" s="332"/>
      <c r="C1069" s="723">
        <f>IF(D1042="","-",+C1068+1)</f>
        <v>2038</v>
      </c>
      <c r="D1069" s="674">
        <f t="shared" si="102"/>
        <v>5416059.7456521727</v>
      </c>
      <c r="E1069" s="730">
        <f t="shared" si="103"/>
        <v>208309.99021739131</v>
      </c>
      <c r="F1069" s="730">
        <f t="shared" si="96"/>
        <v>5207749.7554347813</v>
      </c>
      <c r="G1069" s="674">
        <f t="shared" si="97"/>
        <v>5311904.750543477</v>
      </c>
      <c r="H1069" s="724">
        <f>+J1043*G1069+E1069</f>
        <v>744618.17237869056</v>
      </c>
      <c r="I1069" s="731">
        <f>+J1044*G1069+E1069</f>
        <v>744618.17237869056</v>
      </c>
      <c r="J1069" s="727">
        <f t="shared" si="98"/>
        <v>0</v>
      </c>
      <c r="K1069" s="727"/>
      <c r="L1069" s="732"/>
      <c r="M1069" s="727">
        <f t="shared" si="99"/>
        <v>0</v>
      </c>
      <c r="N1069" s="732"/>
      <c r="O1069" s="727">
        <f t="shared" si="100"/>
        <v>0</v>
      </c>
      <c r="P1069" s="727">
        <f t="shared" si="101"/>
        <v>0</v>
      </c>
      <c r="Q1069" s="675"/>
    </row>
    <row r="1070" spans="2:17">
      <c r="B1070" s="332"/>
      <c r="C1070" s="723">
        <f>IF(D1042="","-",+C1069+1)</f>
        <v>2039</v>
      </c>
      <c r="D1070" s="674">
        <f t="shared" si="102"/>
        <v>5207749.7554347813</v>
      </c>
      <c r="E1070" s="730">
        <f t="shared" si="103"/>
        <v>208309.99021739131</v>
      </c>
      <c r="F1070" s="730">
        <f t="shared" si="96"/>
        <v>4999439.7652173899</v>
      </c>
      <c r="G1070" s="674">
        <f t="shared" si="97"/>
        <v>5103594.7603260856</v>
      </c>
      <c r="H1070" s="724">
        <f>+J1043*G1070+E1070</f>
        <v>723586.47896060045</v>
      </c>
      <c r="I1070" s="731">
        <f>+J1044*G1070+E1070</f>
        <v>723586.47896060045</v>
      </c>
      <c r="J1070" s="727">
        <f t="shared" si="98"/>
        <v>0</v>
      </c>
      <c r="K1070" s="727"/>
      <c r="L1070" s="732"/>
      <c r="M1070" s="727">
        <f t="shared" si="99"/>
        <v>0</v>
      </c>
      <c r="N1070" s="732"/>
      <c r="O1070" s="727">
        <f t="shared" si="100"/>
        <v>0</v>
      </c>
      <c r="P1070" s="727">
        <f t="shared" si="101"/>
        <v>0</v>
      </c>
      <c r="Q1070" s="675"/>
    </row>
    <row r="1071" spans="2:17">
      <c r="B1071" s="332"/>
      <c r="C1071" s="723">
        <f>IF(D1042="","-",+C1070+1)</f>
        <v>2040</v>
      </c>
      <c r="D1071" s="674">
        <f t="shared" si="102"/>
        <v>4999439.7652173899</v>
      </c>
      <c r="E1071" s="730">
        <f t="shared" si="103"/>
        <v>208309.99021739131</v>
      </c>
      <c r="F1071" s="730">
        <f t="shared" si="96"/>
        <v>4791129.7749999985</v>
      </c>
      <c r="G1071" s="674">
        <f t="shared" si="97"/>
        <v>4895284.7701086942</v>
      </c>
      <c r="H1071" s="724">
        <f>+J1043*G1071+E1071</f>
        <v>702554.78554251022</v>
      </c>
      <c r="I1071" s="731">
        <f>+J1044*G1071+E1071</f>
        <v>702554.78554251022</v>
      </c>
      <c r="J1071" s="727">
        <f t="shared" si="98"/>
        <v>0</v>
      </c>
      <c r="K1071" s="727"/>
      <c r="L1071" s="732"/>
      <c r="M1071" s="727">
        <f t="shared" si="99"/>
        <v>0</v>
      </c>
      <c r="N1071" s="732"/>
      <c r="O1071" s="727">
        <f t="shared" si="100"/>
        <v>0</v>
      </c>
      <c r="P1071" s="727">
        <f t="shared" si="101"/>
        <v>0</v>
      </c>
      <c r="Q1071" s="675"/>
    </row>
    <row r="1072" spans="2:17">
      <c r="B1072" s="332"/>
      <c r="C1072" s="723">
        <f>IF(D1042="","-",+C1071+1)</f>
        <v>2041</v>
      </c>
      <c r="D1072" s="674">
        <f t="shared" si="102"/>
        <v>4791129.7749999985</v>
      </c>
      <c r="E1072" s="730">
        <f t="shared" si="103"/>
        <v>208309.99021739131</v>
      </c>
      <c r="F1072" s="730">
        <f t="shared" si="96"/>
        <v>4582819.7847826071</v>
      </c>
      <c r="G1072" s="674">
        <f t="shared" si="97"/>
        <v>4686974.7798913028</v>
      </c>
      <c r="H1072" s="724">
        <f>+J1043*G1072+E1072</f>
        <v>681523.0921244201</v>
      </c>
      <c r="I1072" s="731">
        <f>+J1044*G1072+E1072</f>
        <v>681523.0921244201</v>
      </c>
      <c r="J1072" s="727">
        <f t="shared" si="98"/>
        <v>0</v>
      </c>
      <c r="K1072" s="727"/>
      <c r="L1072" s="732"/>
      <c r="M1072" s="727">
        <f t="shared" si="99"/>
        <v>0</v>
      </c>
      <c r="N1072" s="732"/>
      <c r="O1072" s="727">
        <f t="shared" si="100"/>
        <v>0</v>
      </c>
      <c r="P1072" s="727">
        <f t="shared" si="101"/>
        <v>0</v>
      </c>
      <c r="Q1072" s="675"/>
    </row>
    <row r="1073" spans="2:17">
      <c r="B1073" s="332"/>
      <c r="C1073" s="723">
        <f>IF(D1042="","-",+C1072+1)</f>
        <v>2042</v>
      </c>
      <c r="D1073" s="674">
        <f t="shared" si="102"/>
        <v>4582819.7847826071</v>
      </c>
      <c r="E1073" s="730">
        <f t="shared" si="103"/>
        <v>208309.99021739131</v>
      </c>
      <c r="F1073" s="730">
        <f t="shared" si="96"/>
        <v>4374509.7945652157</v>
      </c>
      <c r="G1073" s="674">
        <f t="shared" si="97"/>
        <v>4478664.7896739114</v>
      </c>
      <c r="H1073" s="724">
        <f>+J1043*G1073+E1073</f>
        <v>660491.39870632987</v>
      </c>
      <c r="I1073" s="731">
        <f>+J1044*G1073+E1073</f>
        <v>660491.39870632987</v>
      </c>
      <c r="J1073" s="727">
        <f t="shared" si="98"/>
        <v>0</v>
      </c>
      <c r="K1073" s="727"/>
      <c r="L1073" s="732"/>
      <c r="M1073" s="727">
        <f t="shared" si="99"/>
        <v>0</v>
      </c>
      <c r="N1073" s="732"/>
      <c r="O1073" s="727">
        <f t="shared" si="100"/>
        <v>0</v>
      </c>
      <c r="P1073" s="727">
        <f t="shared" si="101"/>
        <v>0</v>
      </c>
      <c r="Q1073" s="675"/>
    </row>
    <row r="1074" spans="2:17">
      <c r="B1074" s="332"/>
      <c r="C1074" s="723">
        <f>IF(D1042="","-",+C1073+1)</f>
        <v>2043</v>
      </c>
      <c r="D1074" s="674">
        <f t="shared" si="102"/>
        <v>4374509.7945652157</v>
      </c>
      <c r="E1074" s="730">
        <f t="shared" si="103"/>
        <v>208309.99021739131</v>
      </c>
      <c r="F1074" s="730">
        <f t="shared" si="96"/>
        <v>4166199.8043478243</v>
      </c>
      <c r="G1074" s="674">
        <f t="shared" si="97"/>
        <v>4270354.79945652</v>
      </c>
      <c r="H1074" s="724">
        <f>+J1043*G1074+E1074</f>
        <v>639459.70528823975</v>
      </c>
      <c r="I1074" s="731">
        <f>+J1044*G1074+E1074</f>
        <v>639459.70528823975</v>
      </c>
      <c r="J1074" s="727">
        <f t="shared" si="98"/>
        <v>0</v>
      </c>
      <c r="K1074" s="727"/>
      <c r="L1074" s="732"/>
      <c r="M1074" s="727">
        <f t="shared" si="99"/>
        <v>0</v>
      </c>
      <c r="N1074" s="732"/>
      <c r="O1074" s="727">
        <f t="shared" si="100"/>
        <v>0</v>
      </c>
      <c r="P1074" s="727">
        <f t="shared" si="101"/>
        <v>0</v>
      </c>
      <c r="Q1074" s="675"/>
    </row>
    <row r="1075" spans="2:17">
      <c r="B1075" s="332"/>
      <c r="C1075" s="723">
        <f>IF(D1042="","-",+C1074+1)</f>
        <v>2044</v>
      </c>
      <c r="D1075" s="674">
        <f t="shared" si="102"/>
        <v>4166199.8043478243</v>
      </c>
      <c r="E1075" s="730">
        <f t="shared" si="103"/>
        <v>208309.99021739131</v>
      </c>
      <c r="F1075" s="730">
        <f t="shared" si="96"/>
        <v>3957889.8141304329</v>
      </c>
      <c r="G1075" s="674">
        <f t="shared" si="97"/>
        <v>4062044.8092391286</v>
      </c>
      <c r="H1075" s="724">
        <f>+J1043*G1075+E1075</f>
        <v>618428.01187014952</v>
      </c>
      <c r="I1075" s="731">
        <f>+J1044*G1075+E1075</f>
        <v>618428.01187014952</v>
      </c>
      <c r="J1075" s="727">
        <f t="shared" si="98"/>
        <v>0</v>
      </c>
      <c r="K1075" s="727"/>
      <c r="L1075" s="732"/>
      <c r="M1075" s="727">
        <f t="shared" si="99"/>
        <v>0</v>
      </c>
      <c r="N1075" s="732"/>
      <c r="O1075" s="727">
        <f t="shared" si="100"/>
        <v>0</v>
      </c>
      <c r="P1075" s="727">
        <f t="shared" si="101"/>
        <v>0</v>
      </c>
      <c r="Q1075" s="675"/>
    </row>
    <row r="1076" spans="2:17">
      <c r="B1076" s="332"/>
      <c r="C1076" s="723">
        <f>IF(D1042="","-",+C1075+1)</f>
        <v>2045</v>
      </c>
      <c r="D1076" s="674">
        <f t="shared" si="102"/>
        <v>3957889.8141304329</v>
      </c>
      <c r="E1076" s="730">
        <f t="shared" si="103"/>
        <v>208309.99021739131</v>
      </c>
      <c r="F1076" s="730">
        <f t="shared" si="96"/>
        <v>3749579.8239130415</v>
      </c>
      <c r="G1076" s="674">
        <f t="shared" si="97"/>
        <v>3853734.8190217372</v>
      </c>
      <c r="H1076" s="724">
        <f>+J1043*G1076+E1076</f>
        <v>597396.31845205929</v>
      </c>
      <c r="I1076" s="731">
        <f>+J1044*G1076+E1076</f>
        <v>597396.31845205929</v>
      </c>
      <c r="J1076" s="727">
        <f t="shared" si="98"/>
        <v>0</v>
      </c>
      <c r="K1076" s="727"/>
      <c r="L1076" s="732"/>
      <c r="M1076" s="727">
        <f t="shared" si="99"/>
        <v>0</v>
      </c>
      <c r="N1076" s="732"/>
      <c r="O1076" s="727">
        <f t="shared" si="100"/>
        <v>0</v>
      </c>
      <c r="P1076" s="727">
        <f t="shared" si="101"/>
        <v>0</v>
      </c>
      <c r="Q1076" s="675"/>
    </row>
    <row r="1077" spans="2:17">
      <c r="B1077" s="332"/>
      <c r="C1077" s="723">
        <f>IF(D1042="","-",+C1076+1)</f>
        <v>2046</v>
      </c>
      <c r="D1077" s="674">
        <f t="shared" si="102"/>
        <v>3749579.8239130415</v>
      </c>
      <c r="E1077" s="730">
        <f t="shared" si="103"/>
        <v>208309.99021739131</v>
      </c>
      <c r="F1077" s="730">
        <f t="shared" si="96"/>
        <v>3541269.8336956501</v>
      </c>
      <c r="G1077" s="674">
        <f t="shared" si="97"/>
        <v>3645424.8288043458</v>
      </c>
      <c r="H1077" s="724">
        <f>+J1043*G1077+E1077</f>
        <v>576364.62503396918</v>
      </c>
      <c r="I1077" s="731">
        <f>+J1044*G1077+E1077</f>
        <v>576364.62503396918</v>
      </c>
      <c r="J1077" s="727">
        <f t="shared" si="98"/>
        <v>0</v>
      </c>
      <c r="K1077" s="727"/>
      <c r="L1077" s="732"/>
      <c r="M1077" s="727">
        <f t="shared" si="99"/>
        <v>0</v>
      </c>
      <c r="N1077" s="732"/>
      <c r="O1077" s="727">
        <f t="shared" si="100"/>
        <v>0</v>
      </c>
      <c r="P1077" s="727">
        <f t="shared" si="101"/>
        <v>0</v>
      </c>
      <c r="Q1077" s="675"/>
    </row>
    <row r="1078" spans="2:17">
      <c r="B1078" s="332"/>
      <c r="C1078" s="723">
        <f>IF(D1042="","-",+C1077+1)</f>
        <v>2047</v>
      </c>
      <c r="D1078" s="674">
        <f t="shared" si="102"/>
        <v>3541269.8336956501</v>
      </c>
      <c r="E1078" s="730">
        <f t="shared" si="103"/>
        <v>208309.99021739131</v>
      </c>
      <c r="F1078" s="730">
        <f t="shared" si="96"/>
        <v>3332959.8434782587</v>
      </c>
      <c r="G1078" s="674">
        <f t="shared" si="97"/>
        <v>3437114.8385869544</v>
      </c>
      <c r="H1078" s="724">
        <f>+J1043*G1078+E1078</f>
        <v>555332.93161587894</v>
      </c>
      <c r="I1078" s="731">
        <f>+J1044*G1078+E1078</f>
        <v>555332.93161587894</v>
      </c>
      <c r="J1078" s="727">
        <f t="shared" si="98"/>
        <v>0</v>
      </c>
      <c r="K1078" s="727"/>
      <c r="L1078" s="732"/>
      <c r="M1078" s="727">
        <f t="shared" si="99"/>
        <v>0</v>
      </c>
      <c r="N1078" s="732"/>
      <c r="O1078" s="727">
        <f t="shared" si="100"/>
        <v>0</v>
      </c>
      <c r="P1078" s="727">
        <f t="shared" si="101"/>
        <v>0</v>
      </c>
      <c r="Q1078" s="675"/>
    </row>
    <row r="1079" spans="2:17">
      <c r="B1079" s="332"/>
      <c r="C1079" s="723">
        <f>IF(D1042="","-",+C1078+1)</f>
        <v>2048</v>
      </c>
      <c r="D1079" s="674">
        <f t="shared" si="102"/>
        <v>3332959.8434782587</v>
      </c>
      <c r="E1079" s="730">
        <f t="shared" si="103"/>
        <v>208309.99021739131</v>
      </c>
      <c r="F1079" s="730">
        <f t="shared" si="96"/>
        <v>3124649.8532608673</v>
      </c>
      <c r="G1079" s="674">
        <f t="shared" si="97"/>
        <v>3228804.848369563</v>
      </c>
      <c r="H1079" s="724">
        <f>+J1043*G1079+E1079</f>
        <v>534301.23819778883</v>
      </c>
      <c r="I1079" s="731">
        <f>+J1044*G1079+E1079</f>
        <v>534301.23819778883</v>
      </c>
      <c r="J1079" s="727">
        <f t="shared" si="98"/>
        <v>0</v>
      </c>
      <c r="K1079" s="727"/>
      <c r="L1079" s="732"/>
      <c r="M1079" s="727">
        <f t="shared" si="99"/>
        <v>0</v>
      </c>
      <c r="N1079" s="732"/>
      <c r="O1079" s="727">
        <f t="shared" si="100"/>
        <v>0</v>
      </c>
      <c r="P1079" s="727">
        <f t="shared" si="101"/>
        <v>0</v>
      </c>
      <c r="Q1079" s="675"/>
    </row>
    <row r="1080" spans="2:17">
      <c r="B1080" s="332"/>
      <c r="C1080" s="723">
        <f>IF(D1042="","-",+C1079+1)</f>
        <v>2049</v>
      </c>
      <c r="D1080" s="674">
        <f t="shared" si="102"/>
        <v>3124649.8532608673</v>
      </c>
      <c r="E1080" s="730">
        <f t="shared" si="103"/>
        <v>208309.99021739131</v>
      </c>
      <c r="F1080" s="730">
        <f t="shared" si="96"/>
        <v>2916339.8630434759</v>
      </c>
      <c r="G1080" s="674">
        <f t="shared" si="97"/>
        <v>3020494.8581521716</v>
      </c>
      <c r="H1080" s="724">
        <f>+J1043*G1080+E1080</f>
        <v>513269.5447796986</v>
      </c>
      <c r="I1080" s="731">
        <f>+J1044*G1080+E1080</f>
        <v>513269.5447796986</v>
      </c>
      <c r="J1080" s="727">
        <f t="shared" si="98"/>
        <v>0</v>
      </c>
      <c r="K1080" s="727"/>
      <c r="L1080" s="732"/>
      <c r="M1080" s="727">
        <f t="shared" si="99"/>
        <v>0</v>
      </c>
      <c r="N1080" s="732"/>
      <c r="O1080" s="727">
        <f t="shared" si="100"/>
        <v>0</v>
      </c>
      <c r="P1080" s="727">
        <f t="shared" si="101"/>
        <v>0</v>
      </c>
      <c r="Q1080" s="675"/>
    </row>
    <row r="1081" spans="2:17">
      <c r="B1081" s="332"/>
      <c r="C1081" s="723">
        <f>IF(D1042="","-",+C1080+1)</f>
        <v>2050</v>
      </c>
      <c r="D1081" s="674">
        <f t="shared" si="102"/>
        <v>2916339.8630434759</v>
      </c>
      <c r="E1081" s="730">
        <f t="shared" si="103"/>
        <v>208309.99021739131</v>
      </c>
      <c r="F1081" s="730">
        <f t="shared" si="96"/>
        <v>2708029.8728260845</v>
      </c>
      <c r="G1081" s="674">
        <f t="shared" si="97"/>
        <v>2812184.8679347802</v>
      </c>
      <c r="H1081" s="724">
        <f>+J1043*G1081+E1081</f>
        <v>492237.85136160837</v>
      </c>
      <c r="I1081" s="731">
        <f>+J1044*G1081+E1081</f>
        <v>492237.85136160837</v>
      </c>
      <c r="J1081" s="727">
        <f t="shared" si="98"/>
        <v>0</v>
      </c>
      <c r="K1081" s="727"/>
      <c r="L1081" s="732"/>
      <c r="M1081" s="727">
        <f t="shared" si="99"/>
        <v>0</v>
      </c>
      <c r="N1081" s="732"/>
      <c r="O1081" s="727">
        <f t="shared" si="100"/>
        <v>0</v>
      </c>
      <c r="P1081" s="727">
        <f t="shared" si="101"/>
        <v>0</v>
      </c>
      <c r="Q1081" s="675"/>
    </row>
    <row r="1082" spans="2:17">
      <c r="B1082" s="332"/>
      <c r="C1082" s="723">
        <f>IF(D1042="","-",+C1081+1)</f>
        <v>2051</v>
      </c>
      <c r="D1082" s="674">
        <f t="shared" si="102"/>
        <v>2708029.8728260845</v>
      </c>
      <c r="E1082" s="730">
        <f t="shared" si="103"/>
        <v>208309.99021739131</v>
      </c>
      <c r="F1082" s="730">
        <f t="shared" si="96"/>
        <v>2499719.8826086931</v>
      </c>
      <c r="G1082" s="674">
        <f t="shared" si="97"/>
        <v>2603874.8777173888</v>
      </c>
      <c r="H1082" s="724">
        <f>+J1043*G1082+E1082</f>
        <v>471206.15794351825</v>
      </c>
      <c r="I1082" s="731">
        <f>+J1044*G1082+E1082</f>
        <v>471206.15794351825</v>
      </c>
      <c r="J1082" s="727">
        <f t="shared" si="98"/>
        <v>0</v>
      </c>
      <c r="K1082" s="727"/>
      <c r="L1082" s="732"/>
      <c r="M1082" s="727">
        <f t="shared" si="99"/>
        <v>0</v>
      </c>
      <c r="N1082" s="732"/>
      <c r="O1082" s="727">
        <f t="shared" si="100"/>
        <v>0</v>
      </c>
      <c r="P1082" s="727">
        <f t="shared" si="101"/>
        <v>0</v>
      </c>
      <c r="Q1082" s="675"/>
    </row>
    <row r="1083" spans="2:17">
      <c r="B1083" s="332"/>
      <c r="C1083" s="723">
        <f>IF(D1042="","-",+C1082+1)</f>
        <v>2052</v>
      </c>
      <c r="D1083" s="674">
        <f t="shared" si="102"/>
        <v>2499719.8826086931</v>
      </c>
      <c r="E1083" s="730">
        <f t="shared" si="103"/>
        <v>208309.99021739131</v>
      </c>
      <c r="F1083" s="730">
        <f t="shared" si="96"/>
        <v>2291409.8923913017</v>
      </c>
      <c r="G1083" s="674">
        <f t="shared" si="97"/>
        <v>2395564.8874999974</v>
      </c>
      <c r="H1083" s="724">
        <f>+J1043*G1083+E1083</f>
        <v>450174.46452542802</v>
      </c>
      <c r="I1083" s="731">
        <f>+J1044*G1083+E1083</f>
        <v>450174.46452542802</v>
      </c>
      <c r="J1083" s="727">
        <f t="shared" si="98"/>
        <v>0</v>
      </c>
      <c r="K1083" s="727"/>
      <c r="L1083" s="732"/>
      <c r="M1083" s="727">
        <f t="shared" si="99"/>
        <v>0</v>
      </c>
      <c r="N1083" s="732"/>
      <c r="O1083" s="727">
        <f t="shared" si="100"/>
        <v>0</v>
      </c>
      <c r="P1083" s="727">
        <f t="shared" si="101"/>
        <v>0</v>
      </c>
      <c r="Q1083" s="675"/>
    </row>
    <row r="1084" spans="2:17">
      <c r="B1084" s="332"/>
      <c r="C1084" s="723">
        <f>IF(D1042="","-",+C1083+1)</f>
        <v>2053</v>
      </c>
      <c r="D1084" s="674">
        <f t="shared" si="102"/>
        <v>2291409.8923913017</v>
      </c>
      <c r="E1084" s="730">
        <f t="shared" si="103"/>
        <v>208309.99021739131</v>
      </c>
      <c r="F1084" s="730">
        <f t="shared" si="96"/>
        <v>2083099.9021739103</v>
      </c>
      <c r="G1084" s="674">
        <f t="shared" si="97"/>
        <v>2187254.897282606</v>
      </c>
      <c r="H1084" s="724">
        <f>+J1043*G1084+E1084</f>
        <v>429142.7711073379</v>
      </c>
      <c r="I1084" s="731">
        <f>+J1044*G1084+E1084</f>
        <v>429142.7711073379</v>
      </c>
      <c r="J1084" s="727">
        <f t="shared" si="98"/>
        <v>0</v>
      </c>
      <c r="K1084" s="727"/>
      <c r="L1084" s="732"/>
      <c r="M1084" s="727">
        <f t="shared" si="99"/>
        <v>0</v>
      </c>
      <c r="N1084" s="732"/>
      <c r="O1084" s="727">
        <f t="shared" si="100"/>
        <v>0</v>
      </c>
      <c r="P1084" s="727">
        <f t="shared" si="101"/>
        <v>0</v>
      </c>
      <c r="Q1084" s="675"/>
    </row>
    <row r="1085" spans="2:17">
      <c r="B1085" s="332"/>
      <c r="C1085" s="723">
        <f>IF(D1042="","-",+C1084+1)</f>
        <v>2054</v>
      </c>
      <c r="D1085" s="674">
        <f t="shared" si="102"/>
        <v>2083099.9021739103</v>
      </c>
      <c r="E1085" s="730">
        <f t="shared" si="103"/>
        <v>208309.99021739131</v>
      </c>
      <c r="F1085" s="730">
        <f t="shared" si="96"/>
        <v>1874789.9119565189</v>
      </c>
      <c r="G1085" s="674">
        <f t="shared" si="97"/>
        <v>1978944.9070652146</v>
      </c>
      <c r="H1085" s="724">
        <f>+J1043*G1085+E1085</f>
        <v>408111.07768924767</v>
      </c>
      <c r="I1085" s="731">
        <f>+J1044*G1085+E1085</f>
        <v>408111.07768924767</v>
      </c>
      <c r="J1085" s="727">
        <f t="shared" si="98"/>
        <v>0</v>
      </c>
      <c r="K1085" s="727"/>
      <c r="L1085" s="732"/>
      <c r="M1085" s="727">
        <f t="shared" si="99"/>
        <v>0</v>
      </c>
      <c r="N1085" s="732"/>
      <c r="O1085" s="727">
        <f t="shared" si="100"/>
        <v>0</v>
      </c>
      <c r="P1085" s="727">
        <f t="shared" si="101"/>
        <v>0</v>
      </c>
      <c r="Q1085" s="675"/>
    </row>
    <row r="1086" spans="2:17">
      <c r="B1086" s="332"/>
      <c r="C1086" s="723">
        <f>IF(D1042="","-",+C1085+1)</f>
        <v>2055</v>
      </c>
      <c r="D1086" s="674">
        <f t="shared" si="102"/>
        <v>1874789.9119565189</v>
      </c>
      <c r="E1086" s="730">
        <f t="shared" si="103"/>
        <v>208309.99021739131</v>
      </c>
      <c r="F1086" s="730">
        <f t="shared" si="96"/>
        <v>1666479.9217391275</v>
      </c>
      <c r="G1086" s="674">
        <f t="shared" si="97"/>
        <v>1770634.9168478232</v>
      </c>
      <c r="H1086" s="724">
        <f>+J1043*G1086+E1086</f>
        <v>387079.3842711575</v>
      </c>
      <c r="I1086" s="731">
        <f>+J1044*G1086+E1086</f>
        <v>387079.3842711575</v>
      </c>
      <c r="J1086" s="727">
        <f t="shared" si="98"/>
        <v>0</v>
      </c>
      <c r="K1086" s="727"/>
      <c r="L1086" s="732"/>
      <c r="M1086" s="727">
        <f t="shared" si="99"/>
        <v>0</v>
      </c>
      <c r="N1086" s="732"/>
      <c r="O1086" s="727">
        <f t="shared" si="100"/>
        <v>0</v>
      </c>
      <c r="P1086" s="727">
        <f t="shared" si="101"/>
        <v>0</v>
      </c>
      <c r="Q1086" s="675"/>
    </row>
    <row r="1087" spans="2:17">
      <c r="B1087" s="332"/>
      <c r="C1087" s="723">
        <f>IF(D1042="","-",+C1086+1)</f>
        <v>2056</v>
      </c>
      <c r="D1087" s="674">
        <f t="shared" si="102"/>
        <v>1666479.9217391275</v>
      </c>
      <c r="E1087" s="730">
        <f t="shared" si="103"/>
        <v>208309.99021739131</v>
      </c>
      <c r="F1087" s="730">
        <f t="shared" si="96"/>
        <v>1458169.9315217361</v>
      </c>
      <c r="G1087" s="674">
        <f t="shared" si="97"/>
        <v>1562324.9266304318</v>
      </c>
      <c r="H1087" s="724">
        <f>+J1043*G1087+E1087</f>
        <v>366047.69085306732</v>
      </c>
      <c r="I1087" s="731">
        <f>+J1044*G1087+E1087</f>
        <v>366047.69085306732</v>
      </c>
      <c r="J1087" s="727">
        <f t="shared" si="98"/>
        <v>0</v>
      </c>
      <c r="K1087" s="727"/>
      <c r="L1087" s="732"/>
      <c r="M1087" s="727">
        <f t="shared" si="99"/>
        <v>0</v>
      </c>
      <c r="N1087" s="732"/>
      <c r="O1087" s="727">
        <f t="shared" si="100"/>
        <v>0</v>
      </c>
      <c r="P1087" s="727">
        <f t="shared" si="101"/>
        <v>0</v>
      </c>
      <c r="Q1087" s="675"/>
    </row>
    <row r="1088" spans="2:17">
      <c r="B1088" s="332"/>
      <c r="C1088" s="723">
        <f>IF(D1042="","-",+C1087+1)</f>
        <v>2057</v>
      </c>
      <c r="D1088" s="674">
        <f t="shared" si="102"/>
        <v>1458169.9315217361</v>
      </c>
      <c r="E1088" s="730">
        <f t="shared" si="103"/>
        <v>208309.99021739131</v>
      </c>
      <c r="F1088" s="730">
        <f t="shared" si="96"/>
        <v>1249859.9413043447</v>
      </c>
      <c r="G1088" s="674">
        <f t="shared" si="97"/>
        <v>1354014.9364130404</v>
      </c>
      <c r="H1088" s="724">
        <f>+J1043*G1088+E1088</f>
        <v>345015.99743497709</v>
      </c>
      <c r="I1088" s="731">
        <f>+J1044*G1088+E1088</f>
        <v>345015.99743497709</v>
      </c>
      <c r="J1088" s="727">
        <f t="shared" si="98"/>
        <v>0</v>
      </c>
      <c r="K1088" s="727"/>
      <c r="L1088" s="732"/>
      <c r="M1088" s="727">
        <f t="shared" si="99"/>
        <v>0</v>
      </c>
      <c r="N1088" s="732"/>
      <c r="O1088" s="727">
        <f t="shared" si="100"/>
        <v>0</v>
      </c>
      <c r="P1088" s="727">
        <f t="shared" si="101"/>
        <v>0</v>
      </c>
      <c r="Q1088" s="675"/>
    </row>
    <row r="1089" spans="2:17">
      <c r="B1089" s="332"/>
      <c r="C1089" s="723">
        <f>IF(D1042="","-",+C1088+1)</f>
        <v>2058</v>
      </c>
      <c r="D1089" s="674">
        <f t="shared" si="102"/>
        <v>1249859.9413043447</v>
      </c>
      <c r="E1089" s="730">
        <f t="shared" si="103"/>
        <v>208309.99021739131</v>
      </c>
      <c r="F1089" s="730">
        <f t="shared" si="96"/>
        <v>1041549.9510869534</v>
      </c>
      <c r="G1089" s="674">
        <f t="shared" si="97"/>
        <v>1145704.946195649</v>
      </c>
      <c r="H1089" s="724">
        <f>+J1043*G1089+E1089</f>
        <v>323984.30401688698</v>
      </c>
      <c r="I1089" s="731">
        <f>+J1044*G1089+E1089</f>
        <v>323984.30401688698</v>
      </c>
      <c r="J1089" s="727">
        <f t="shared" si="98"/>
        <v>0</v>
      </c>
      <c r="K1089" s="727"/>
      <c r="L1089" s="732"/>
      <c r="M1089" s="727">
        <f t="shared" si="99"/>
        <v>0</v>
      </c>
      <c r="N1089" s="732"/>
      <c r="O1089" s="727">
        <f t="shared" si="100"/>
        <v>0</v>
      </c>
      <c r="P1089" s="727">
        <f t="shared" si="101"/>
        <v>0</v>
      </c>
      <c r="Q1089" s="675"/>
    </row>
    <row r="1090" spans="2:17">
      <c r="B1090" s="332"/>
      <c r="C1090" s="723">
        <f>IF(D1042="","-",+C1089+1)</f>
        <v>2059</v>
      </c>
      <c r="D1090" s="674">
        <f t="shared" si="102"/>
        <v>1041549.9510869534</v>
      </c>
      <c r="E1090" s="730">
        <f t="shared" si="103"/>
        <v>208309.99021739131</v>
      </c>
      <c r="F1090" s="730">
        <f t="shared" si="96"/>
        <v>833239.96086956211</v>
      </c>
      <c r="G1090" s="674">
        <f t="shared" si="97"/>
        <v>937394.95597825781</v>
      </c>
      <c r="H1090" s="724">
        <f>+J1043*G1090+E1090</f>
        <v>302952.6105987968</v>
      </c>
      <c r="I1090" s="731">
        <f>+J1044*G1090+E1090</f>
        <v>302952.6105987968</v>
      </c>
      <c r="J1090" s="727">
        <f t="shared" si="98"/>
        <v>0</v>
      </c>
      <c r="K1090" s="727"/>
      <c r="L1090" s="732"/>
      <c r="M1090" s="727">
        <f t="shared" si="99"/>
        <v>0</v>
      </c>
      <c r="N1090" s="732"/>
      <c r="O1090" s="727">
        <f t="shared" si="100"/>
        <v>0</v>
      </c>
      <c r="P1090" s="727">
        <f t="shared" si="101"/>
        <v>0</v>
      </c>
      <c r="Q1090" s="675"/>
    </row>
    <row r="1091" spans="2:17">
      <c r="B1091" s="332"/>
      <c r="C1091" s="723">
        <f>IF(D1042="","-",+C1090+1)</f>
        <v>2060</v>
      </c>
      <c r="D1091" s="674">
        <f t="shared" si="102"/>
        <v>833239.96086956211</v>
      </c>
      <c r="E1091" s="730">
        <f t="shared" si="103"/>
        <v>208309.99021739131</v>
      </c>
      <c r="F1091" s="730">
        <f t="shared" si="96"/>
        <v>624929.97065217083</v>
      </c>
      <c r="G1091" s="674">
        <f t="shared" si="97"/>
        <v>729084.96576086641</v>
      </c>
      <c r="H1091" s="724">
        <f>+J1043*G1091+E1091</f>
        <v>281920.91718070663</v>
      </c>
      <c r="I1091" s="731">
        <f>+J1044*G1091+E1091</f>
        <v>281920.91718070663</v>
      </c>
      <c r="J1091" s="727">
        <f t="shared" si="98"/>
        <v>0</v>
      </c>
      <c r="K1091" s="727"/>
      <c r="L1091" s="732"/>
      <c r="M1091" s="727">
        <f t="shared" si="99"/>
        <v>0</v>
      </c>
      <c r="N1091" s="732"/>
      <c r="O1091" s="727">
        <f t="shared" si="100"/>
        <v>0</v>
      </c>
      <c r="P1091" s="727">
        <f t="shared" si="101"/>
        <v>0</v>
      </c>
      <c r="Q1091" s="675"/>
    </row>
    <row r="1092" spans="2:17">
      <c r="B1092" s="332"/>
      <c r="C1092" s="723">
        <f>IF(D1042="","-",+C1091+1)</f>
        <v>2061</v>
      </c>
      <c r="D1092" s="674">
        <f t="shared" si="102"/>
        <v>624929.97065217083</v>
      </c>
      <c r="E1092" s="730">
        <f t="shared" si="103"/>
        <v>208309.99021739131</v>
      </c>
      <c r="F1092" s="730">
        <f t="shared" si="96"/>
        <v>416619.98043477954</v>
      </c>
      <c r="G1092" s="674">
        <f t="shared" si="97"/>
        <v>520774.97554347519</v>
      </c>
      <c r="H1092" s="724">
        <f>+J1043*G1092+E1092</f>
        <v>260889.22376261643</v>
      </c>
      <c r="I1092" s="731">
        <f>+J1044*G1092+E1092</f>
        <v>260889.22376261643</v>
      </c>
      <c r="J1092" s="727">
        <f t="shared" si="98"/>
        <v>0</v>
      </c>
      <c r="K1092" s="727"/>
      <c r="L1092" s="732"/>
      <c r="M1092" s="727">
        <f t="shared" si="99"/>
        <v>0</v>
      </c>
      <c r="N1092" s="732"/>
      <c r="O1092" s="727">
        <f t="shared" si="100"/>
        <v>0</v>
      </c>
      <c r="P1092" s="727">
        <f t="shared" si="101"/>
        <v>0</v>
      </c>
      <c r="Q1092" s="675"/>
    </row>
    <row r="1093" spans="2:17">
      <c r="B1093" s="332"/>
      <c r="C1093" s="723">
        <f>IF(D1042="","-",+C1092+1)</f>
        <v>2062</v>
      </c>
      <c r="D1093" s="674">
        <f t="shared" si="102"/>
        <v>416619.98043477954</v>
      </c>
      <c r="E1093" s="730">
        <f t="shared" si="103"/>
        <v>208309.99021739131</v>
      </c>
      <c r="F1093" s="730">
        <f t="shared" si="96"/>
        <v>208309.99021738823</v>
      </c>
      <c r="G1093" s="674">
        <f t="shared" si="97"/>
        <v>312464.9853260839</v>
      </c>
      <c r="H1093" s="724">
        <f>+J1043*G1093+E1093</f>
        <v>239857.53034452625</v>
      </c>
      <c r="I1093" s="731">
        <f>+J1044*G1093+E1093</f>
        <v>239857.53034452625</v>
      </c>
      <c r="J1093" s="727">
        <f t="shared" si="98"/>
        <v>0</v>
      </c>
      <c r="K1093" s="727"/>
      <c r="L1093" s="732"/>
      <c r="M1093" s="727">
        <f t="shared" si="99"/>
        <v>0</v>
      </c>
      <c r="N1093" s="732"/>
      <c r="O1093" s="727">
        <f t="shared" si="100"/>
        <v>0</v>
      </c>
      <c r="P1093" s="727">
        <f t="shared" si="101"/>
        <v>0</v>
      </c>
      <c r="Q1093" s="675"/>
    </row>
    <row r="1094" spans="2:17">
      <c r="B1094" s="332"/>
      <c r="C1094" s="723">
        <f>IF(D1042="","-",+C1093+1)</f>
        <v>2063</v>
      </c>
      <c r="D1094" s="674">
        <f t="shared" si="102"/>
        <v>208309.99021738823</v>
      </c>
      <c r="E1094" s="730">
        <f t="shared" si="103"/>
        <v>208309.99021738823</v>
      </c>
      <c r="F1094" s="730">
        <f t="shared" si="96"/>
        <v>0</v>
      </c>
      <c r="G1094" s="674">
        <f t="shared" si="97"/>
        <v>104154.99510869411</v>
      </c>
      <c r="H1094" s="724">
        <f>+J1043*G1094+E1094</f>
        <v>218825.83692643317</v>
      </c>
      <c r="I1094" s="731">
        <f>+J1044*G1094+E1094</f>
        <v>218825.83692643317</v>
      </c>
      <c r="J1094" s="727">
        <f t="shared" si="98"/>
        <v>0</v>
      </c>
      <c r="K1094" s="727"/>
      <c r="L1094" s="732"/>
      <c r="M1094" s="727">
        <f t="shared" si="99"/>
        <v>0</v>
      </c>
      <c r="N1094" s="732"/>
      <c r="O1094" s="727">
        <f t="shared" si="100"/>
        <v>0</v>
      </c>
      <c r="P1094" s="727">
        <f t="shared" si="101"/>
        <v>0</v>
      </c>
      <c r="Q1094" s="675"/>
    </row>
    <row r="1095" spans="2:17">
      <c r="B1095" s="332"/>
      <c r="C1095" s="723">
        <f>IF(D1042="","-",+C1094+1)</f>
        <v>2064</v>
      </c>
      <c r="D1095" s="674">
        <f t="shared" si="102"/>
        <v>0</v>
      </c>
      <c r="E1095" s="730">
        <f t="shared" si="103"/>
        <v>0</v>
      </c>
      <c r="F1095" s="730">
        <f t="shared" si="96"/>
        <v>0</v>
      </c>
      <c r="G1095" s="674">
        <f t="shared" si="97"/>
        <v>0</v>
      </c>
      <c r="H1095" s="724">
        <f>+J1043*G1095+E1095</f>
        <v>0</v>
      </c>
      <c r="I1095" s="731">
        <f>+J1044*G1095+E1095</f>
        <v>0</v>
      </c>
      <c r="J1095" s="727">
        <f t="shared" si="98"/>
        <v>0</v>
      </c>
      <c r="K1095" s="727"/>
      <c r="L1095" s="732"/>
      <c r="M1095" s="727">
        <f t="shared" si="99"/>
        <v>0</v>
      </c>
      <c r="N1095" s="732"/>
      <c r="O1095" s="727">
        <f t="shared" si="100"/>
        <v>0</v>
      </c>
      <c r="P1095" s="727">
        <f t="shared" si="101"/>
        <v>0</v>
      </c>
      <c r="Q1095" s="675"/>
    </row>
    <row r="1096" spans="2:17">
      <c r="B1096" s="332"/>
      <c r="C1096" s="723">
        <f>IF(D1042="","-",+C1095+1)</f>
        <v>2065</v>
      </c>
      <c r="D1096" s="674">
        <f t="shared" si="102"/>
        <v>0</v>
      </c>
      <c r="E1096" s="730">
        <f t="shared" si="103"/>
        <v>0</v>
      </c>
      <c r="F1096" s="730">
        <f t="shared" si="96"/>
        <v>0</v>
      </c>
      <c r="G1096" s="674">
        <f t="shared" si="97"/>
        <v>0</v>
      </c>
      <c r="H1096" s="724">
        <f>+J1043*G1096+E1096</f>
        <v>0</v>
      </c>
      <c r="I1096" s="731">
        <f>+J1044*G1096+E1096</f>
        <v>0</v>
      </c>
      <c r="J1096" s="727">
        <f t="shared" si="98"/>
        <v>0</v>
      </c>
      <c r="K1096" s="727"/>
      <c r="L1096" s="732"/>
      <c r="M1096" s="727">
        <f t="shared" si="99"/>
        <v>0</v>
      </c>
      <c r="N1096" s="732"/>
      <c r="O1096" s="727">
        <f t="shared" si="100"/>
        <v>0</v>
      </c>
      <c r="P1096" s="727">
        <f t="shared" si="101"/>
        <v>0</v>
      </c>
      <c r="Q1096" s="675"/>
    </row>
    <row r="1097" spans="2:17">
      <c r="B1097" s="332"/>
      <c r="C1097" s="723">
        <f>IF(D1042="","-",+C1096+1)</f>
        <v>2066</v>
      </c>
      <c r="D1097" s="674">
        <f t="shared" si="102"/>
        <v>0</v>
      </c>
      <c r="E1097" s="730">
        <f t="shared" si="103"/>
        <v>0</v>
      </c>
      <c r="F1097" s="730">
        <f t="shared" si="96"/>
        <v>0</v>
      </c>
      <c r="G1097" s="674">
        <f t="shared" si="97"/>
        <v>0</v>
      </c>
      <c r="H1097" s="724">
        <f>+J1043*G1097+E1097</f>
        <v>0</v>
      </c>
      <c r="I1097" s="731">
        <f>+J1044*G1097+E1097</f>
        <v>0</v>
      </c>
      <c r="J1097" s="727">
        <f t="shared" si="98"/>
        <v>0</v>
      </c>
      <c r="K1097" s="727"/>
      <c r="L1097" s="732"/>
      <c r="M1097" s="727">
        <f t="shared" si="99"/>
        <v>0</v>
      </c>
      <c r="N1097" s="732"/>
      <c r="O1097" s="727">
        <f t="shared" si="100"/>
        <v>0</v>
      </c>
      <c r="P1097" s="727">
        <f t="shared" si="101"/>
        <v>0</v>
      </c>
      <c r="Q1097" s="675"/>
    </row>
    <row r="1098" spans="2:17">
      <c r="B1098" s="332"/>
      <c r="C1098" s="723">
        <f>IF(D1042="","-",+C1097+1)</f>
        <v>2067</v>
      </c>
      <c r="D1098" s="674">
        <f t="shared" si="102"/>
        <v>0</v>
      </c>
      <c r="E1098" s="730">
        <f t="shared" si="103"/>
        <v>0</v>
      </c>
      <c r="F1098" s="730">
        <f t="shared" si="96"/>
        <v>0</v>
      </c>
      <c r="G1098" s="674">
        <f t="shared" si="97"/>
        <v>0</v>
      </c>
      <c r="H1098" s="724">
        <f>+J1043*G1098+E1098</f>
        <v>0</v>
      </c>
      <c r="I1098" s="731">
        <f>+J1044*G1098+E1098</f>
        <v>0</v>
      </c>
      <c r="J1098" s="727">
        <f t="shared" si="98"/>
        <v>0</v>
      </c>
      <c r="K1098" s="727"/>
      <c r="L1098" s="732"/>
      <c r="M1098" s="727">
        <f t="shared" si="99"/>
        <v>0</v>
      </c>
      <c r="N1098" s="732"/>
      <c r="O1098" s="727">
        <f t="shared" si="100"/>
        <v>0</v>
      </c>
      <c r="P1098" s="727">
        <f t="shared" si="101"/>
        <v>0</v>
      </c>
      <c r="Q1098" s="675"/>
    </row>
    <row r="1099" spans="2:17">
      <c r="B1099" s="332"/>
      <c r="C1099" s="723">
        <f>IF(D1042="","-",+C1098+1)</f>
        <v>2068</v>
      </c>
      <c r="D1099" s="674">
        <f t="shared" si="102"/>
        <v>0</v>
      </c>
      <c r="E1099" s="730">
        <f t="shared" si="103"/>
        <v>0</v>
      </c>
      <c r="F1099" s="730">
        <f t="shared" si="96"/>
        <v>0</v>
      </c>
      <c r="G1099" s="674">
        <f t="shared" si="97"/>
        <v>0</v>
      </c>
      <c r="H1099" s="724">
        <f>+J1043*G1099+E1099</f>
        <v>0</v>
      </c>
      <c r="I1099" s="731">
        <f>+J1044*G1099+E1099</f>
        <v>0</v>
      </c>
      <c r="J1099" s="727">
        <f t="shared" si="98"/>
        <v>0</v>
      </c>
      <c r="K1099" s="727"/>
      <c r="L1099" s="732"/>
      <c r="M1099" s="727">
        <f t="shared" si="99"/>
        <v>0</v>
      </c>
      <c r="N1099" s="732"/>
      <c r="O1099" s="727">
        <f t="shared" si="100"/>
        <v>0</v>
      </c>
      <c r="P1099" s="727">
        <f t="shared" si="101"/>
        <v>0</v>
      </c>
      <c r="Q1099" s="675"/>
    </row>
    <row r="1100" spans="2:17">
      <c r="B1100" s="332"/>
      <c r="C1100" s="723">
        <f>IF(D1042="","-",+C1099+1)</f>
        <v>2069</v>
      </c>
      <c r="D1100" s="674">
        <f t="shared" si="102"/>
        <v>0</v>
      </c>
      <c r="E1100" s="730">
        <f t="shared" si="103"/>
        <v>0</v>
      </c>
      <c r="F1100" s="730">
        <f t="shared" si="96"/>
        <v>0</v>
      </c>
      <c r="G1100" s="674">
        <f t="shared" si="97"/>
        <v>0</v>
      </c>
      <c r="H1100" s="724">
        <f>+J1043*G1100+E1100</f>
        <v>0</v>
      </c>
      <c r="I1100" s="731">
        <f>+J1044*G1100+E1100</f>
        <v>0</v>
      </c>
      <c r="J1100" s="727">
        <f t="shared" si="98"/>
        <v>0</v>
      </c>
      <c r="K1100" s="727"/>
      <c r="L1100" s="732"/>
      <c r="M1100" s="727">
        <f t="shared" si="99"/>
        <v>0</v>
      </c>
      <c r="N1100" s="732"/>
      <c r="O1100" s="727">
        <f t="shared" si="100"/>
        <v>0</v>
      </c>
      <c r="P1100" s="727">
        <f t="shared" si="101"/>
        <v>0</v>
      </c>
      <c r="Q1100" s="675"/>
    </row>
    <row r="1101" spans="2:17">
      <c r="B1101" s="332"/>
      <c r="C1101" s="723">
        <f>IF(D1042="","-",+C1100+1)</f>
        <v>2070</v>
      </c>
      <c r="D1101" s="674">
        <f t="shared" si="102"/>
        <v>0</v>
      </c>
      <c r="E1101" s="730">
        <f t="shared" si="103"/>
        <v>0</v>
      </c>
      <c r="F1101" s="730">
        <f t="shared" si="96"/>
        <v>0</v>
      </c>
      <c r="G1101" s="674">
        <f t="shared" si="97"/>
        <v>0</v>
      </c>
      <c r="H1101" s="724">
        <f>+J1043*G1101+E1101</f>
        <v>0</v>
      </c>
      <c r="I1101" s="731">
        <f>+J1044*G1101+E1101</f>
        <v>0</v>
      </c>
      <c r="J1101" s="727">
        <f t="shared" si="98"/>
        <v>0</v>
      </c>
      <c r="K1101" s="727"/>
      <c r="L1101" s="732"/>
      <c r="M1101" s="727">
        <f t="shared" si="99"/>
        <v>0</v>
      </c>
      <c r="N1101" s="732"/>
      <c r="O1101" s="727">
        <f t="shared" si="100"/>
        <v>0</v>
      </c>
      <c r="P1101" s="727">
        <f t="shared" si="101"/>
        <v>0</v>
      </c>
      <c r="Q1101" s="675"/>
    </row>
    <row r="1102" spans="2:17">
      <c r="B1102" s="332"/>
      <c r="C1102" s="723">
        <f>IF(D1042="","-",+C1101+1)</f>
        <v>2071</v>
      </c>
      <c r="D1102" s="674">
        <f t="shared" si="102"/>
        <v>0</v>
      </c>
      <c r="E1102" s="730">
        <f t="shared" si="103"/>
        <v>0</v>
      </c>
      <c r="F1102" s="730">
        <f t="shared" si="96"/>
        <v>0</v>
      </c>
      <c r="G1102" s="674">
        <f t="shared" si="97"/>
        <v>0</v>
      </c>
      <c r="H1102" s="724">
        <f>+J1043*G1102+E1102</f>
        <v>0</v>
      </c>
      <c r="I1102" s="731">
        <f>+J1044*G1102+E1102</f>
        <v>0</v>
      </c>
      <c r="J1102" s="727">
        <f t="shared" si="98"/>
        <v>0</v>
      </c>
      <c r="K1102" s="727"/>
      <c r="L1102" s="732"/>
      <c r="M1102" s="727">
        <f t="shared" si="99"/>
        <v>0</v>
      </c>
      <c r="N1102" s="732"/>
      <c r="O1102" s="727">
        <f t="shared" si="100"/>
        <v>0</v>
      </c>
      <c r="P1102" s="727">
        <f t="shared" si="101"/>
        <v>0</v>
      </c>
      <c r="Q1102" s="675"/>
    </row>
    <row r="1103" spans="2:17">
      <c r="B1103" s="332"/>
      <c r="C1103" s="723">
        <f>IF(D1042="","-",+C1102+1)</f>
        <v>2072</v>
      </c>
      <c r="D1103" s="674">
        <f t="shared" si="102"/>
        <v>0</v>
      </c>
      <c r="E1103" s="730">
        <f t="shared" si="103"/>
        <v>0</v>
      </c>
      <c r="F1103" s="730">
        <f t="shared" si="96"/>
        <v>0</v>
      </c>
      <c r="G1103" s="674">
        <f t="shared" si="97"/>
        <v>0</v>
      </c>
      <c r="H1103" s="724">
        <f>+J1043*G1103+E1103</f>
        <v>0</v>
      </c>
      <c r="I1103" s="731">
        <f>+J1044*G1103+E1103</f>
        <v>0</v>
      </c>
      <c r="J1103" s="727">
        <f t="shared" si="98"/>
        <v>0</v>
      </c>
      <c r="K1103" s="727"/>
      <c r="L1103" s="732"/>
      <c r="M1103" s="727">
        <f t="shared" si="99"/>
        <v>0</v>
      </c>
      <c r="N1103" s="732"/>
      <c r="O1103" s="727">
        <f t="shared" si="100"/>
        <v>0</v>
      </c>
      <c r="P1103" s="727">
        <f t="shared" si="101"/>
        <v>0</v>
      </c>
      <c r="Q1103" s="675"/>
    </row>
    <row r="1104" spans="2:17">
      <c r="B1104" s="332"/>
      <c r="C1104" s="723">
        <f>IF(D1042="","-",+C1103+1)</f>
        <v>2073</v>
      </c>
      <c r="D1104" s="674">
        <f t="shared" si="102"/>
        <v>0</v>
      </c>
      <c r="E1104" s="730">
        <f t="shared" si="103"/>
        <v>0</v>
      </c>
      <c r="F1104" s="730">
        <f t="shared" si="96"/>
        <v>0</v>
      </c>
      <c r="G1104" s="674">
        <f t="shared" si="97"/>
        <v>0</v>
      </c>
      <c r="H1104" s="724">
        <f>+J1043*G1104+E1104</f>
        <v>0</v>
      </c>
      <c r="I1104" s="731">
        <f>+J1044*G1104+E1104</f>
        <v>0</v>
      </c>
      <c r="J1104" s="727">
        <f t="shared" si="98"/>
        <v>0</v>
      </c>
      <c r="K1104" s="727"/>
      <c r="L1104" s="732"/>
      <c r="M1104" s="727">
        <f t="shared" si="99"/>
        <v>0</v>
      </c>
      <c r="N1104" s="732"/>
      <c r="O1104" s="727">
        <f t="shared" si="100"/>
        <v>0</v>
      </c>
      <c r="P1104" s="727">
        <f t="shared" si="101"/>
        <v>0</v>
      </c>
      <c r="Q1104" s="675"/>
    </row>
    <row r="1105" spans="1:17">
      <c r="B1105" s="332"/>
      <c r="C1105" s="723">
        <f>IF(D1042="","-",+C1104+1)</f>
        <v>2074</v>
      </c>
      <c r="D1105" s="674">
        <f t="shared" si="102"/>
        <v>0</v>
      </c>
      <c r="E1105" s="730">
        <f t="shared" si="103"/>
        <v>0</v>
      </c>
      <c r="F1105" s="730">
        <f t="shared" si="96"/>
        <v>0</v>
      </c>
      <c r="G1105" s="674">
        <f t="shared" si="97"/>
        <v>0</v>
      </c>
      <c r="H1105" s="724">
        <f>+J1043*G1105+E1105</f>
        <v>0</v>
      </c>
      <c r="I1105" s="731">
        <f>+J1044*G1105+E1105</f>
        <v>0</v>
      </c>
      <c r="J1105" s="727">
        <f t="shared" si="98"/>
        <v>0</v>
      </c>
      <c r="K1105" s="727"/>
      <c r="L1105" s="732"/>
      <c r="M1105" s="727">
        <f t="shared" si="99"/>
        <v>0</v>
      </c>
      <c r="N1105" s="732"/>
      <c r="O1105" s="727">
        <f t="shared" si="100"/>
        <v>0</v>
      </c>
      <c r="P1105" s="727">
        <f t="shared" si="101"/>
        <v>0</v>
      </c>
      <c r="Q1105" s="675"/>
    </row>
    <row r="1106" spans="1:17">
      <c r="B1106" s="332"/>
      <c r="C1106" s="723">
        <f>IF(D1042="","-",+C1105+1)</f>
        <v>2075</v>
      </c>
      <c r="D1106" s="674">
        <f t="shared" si="102"/>
        <v>0</v>
      </c>
      <c r="E1106" s="730">
        <f t="shared" si="103"/>
        <v>0</v>
      </c>
      <c r="F1106" s="730">
        <f t="shared" si="96"/>
        <v>0</v>
      </c>
      <c r="G1106" s="674">
        <f t="shared" si="97"/>
        <v>0</v>
      </c>
      <c r="H1106" s="724">
        <f>+J1043*G1106+E1106</f>
        <v>0</v>
      </c>
      <c r="I1106" s="731">
        <f>+J1044*G1106+E1106</f>
        <v>0</v>
      </c>
      <c r="J1106" s="727">
        <f t="shared" si="98"/>
        <v>0</v>
      </c>
      <c r="K1106" s="727"/>
      <c r="L1106" s="732"/>
      <c r="M1106" s="727">
        <f t="shared" si="99"/>
        <v>0</v>
      </c>
      <c r="N1106" s="732"/>
      <c r="O1106" s="727">
        <f t="shared" si="100"/>
        <v>0</v>
      </c>
      <c r="P1106" s="727">
        <f t="shared" si="101"/>
        <v>0</v>
      </c>
      <c r="Q1106" s="675"/>
    </row>
    <row r="1107" spans="1:17" ht="13.5" thickBot="1">
      <c r="B1107" s="332"/>
      <c r="C1107" s="735">
        <f>IF(D1042="","-",+C1106+1)</f>
        <v>2076</v>
      </c>
      <c r="D1107" s="736">
        <f t="shared" si="102"/>
        <v>0</v>
      </c>
      <c r="E1107" s="737">
        <f t="shared" si="103"/>
        <v>0</v>
      </c>
      <c r="F1107" s="737">
        <f t="shared" si="96"/>
        <v>0</v>
      </c>
      <c r="G1107" s="736">
        <f t="shared" si="97"/>
        <v>0</v>
      </c>
      <c r="H1107" s="738">
        <f>+J1043*G1107+E1107</f>
        <v>0</v>
      </c>
      <c r="I1107" s="738">
        <f>+J1044*G1107+E1107</f>
        <v>0</v>
      </c>
      <c r="J1107" s="739">
        <f t="shared" si="98"/>
        <v>0</v>
      </c>
      <c r="K1107" s="727"/>
      <c r="L1107" s="740"/>
      <c r="M1107" s="739">
        <f t="shared" si="99"/>
        <v>0</v>
      </c>
      <c r="N1107" s="740"/>
      <c r="O1107" s="739">
        <f t="shared" si="100"/>
        <v>0</v>
      </c>
      <c r="P1107" s="739">
        <f t="shared" si="101"/>
        <v>0</v>
      </c>
      <c r="Q1107" s="675"/>
    </row>
    <row r="1108" spans="1:17">
      <c r="B1108" s="332"/>
      <c r="C1108" s="674" t="s">
        <v>288</v>
      </c>
      <c r="D1108" s="670"/>
      <c r="E1108" s="670">
        <f>SUM(E1048:E1107)</f>
        <v>9582259.5499999989</v>
      </c>
      <c r="F1108" s="670"/>
      <c r="G1108" s="670"/>
      <c r="H1108" s="670">
        <f>SUM(H1048:H1107)</f>
        <v>32801249.083571546</v>
      </c>
      <c r="I1108" s="670">
        <f>SUM(I1048:I1107)</f>
        <v>32801249.083571546</v>
      </c>
      <c r="J1108" s="670">
        <f>SUM(J1048:J1107)</f>
        <v>0</v>
      </c>
      <c r="K1108" s="670"/>
      <c r="L1108" s="670"/>
      <c r="M1108" s="670"/>
      <c r="N1108" s="670"/>
      <c r="O1108" s="670"/>
      <c r="Q1108" s="670"/>
    </row>
    <row r="1109" spans="1:17">
      <c r="B1109" s="332"/>
      <c r="D1109" s="564"/>
      <c r="E1109" s="541"/>
      <c r="F1109" s="541"/>
      <c r="G1109" s="541"/>
      <c r="H1109" s="541"/>
      <c r="I1109" s="647"/>
      <c r="J1109" s="647"/>
      <c r="K1109" s="670"/>
      <c r="L1109" s="647"/>
      <c r="M1109" s="647"/>
      <c r="N1109" s="647"/>
      <c r="O1109" s="647"/>
      <c r="Q1109" s="670"/>
    </row>
    <row r="1110" spans="1:17">
      <c r="B1110" s="332"/>
      <c r="C1110" s="541" t="s">
        <v>601</v>
      </c>
      <c r="D1110" s="564"/>
      <c r="E1110" s="541"/>
      <c r="F1110" s="541"/>
      <c r="G1110" s="541"/>
      <c r="H1110" s="541"/>
      <c r="I1110" s="647"/>
      <c r="J1110" s="647"/>
      <c r="K1110" s="670"/>
      <c r="L1110" s="647"/>
      <c r="M1110" s="647"/>
      <c r="N1110" s="647"/>
      <c r="O1110" s="647"/>
      <c r="Q1110" s="670"/>
    </row>
    <row r="1111" spans="1:17">
      <c r="B1111" s="332"/>
      <c r="D1111" s="564"/>
      <c r="E1111" s="541"/>
      <c r="F1111" s="541"/>
      <c r="G1111" s="541"/>
      <c r="H1111" s="541"/>
      <c r="I1111" s="647"/>
      <c r="J1111" s="647"/>
      <c r="K1111" s="670"/>
      <c r="L1111" s="647"/>
      <c r="M1111" s="647"/>
      <c r="N1111" s="647"/>
      <c r="O1111" s="647"/>
      <c r="Q1111" s="670"/>
    </row>
    <row r="1112" spans="1:17">
      <c r="B1112" s="332"/>
      <c r="C1112" s="577" t="s">
        <v>602</v>
      </c>
      <c r="D1112" s="674"/>
      <c r="E1112" s="674"/>
      <c r="F1112" s="674"/>
      <c r="G1112" s="674"/>
      <c r="H1112" s="670"/>
      <c r="I1112" s="670"/>
      <c r="J1112" s="675"/>
      <c r="K1112" s="675"/>
      <c r="L1112" s="675"/>
      <c r="M1112" s="675"/>
      <c r="N1112" s="675"/>
      <c r="O1112" s="675"/>
      <c r="Q1112" s="675"/>
    </row>
    <row r="1113" spans="1:17">
      <c r="B1113" s="332"/>
      <c r="C1113" s="577" t="s">
        <v>476</v>
      </c>
      <c r="D1113" s="674"/>
      <c r="E1113" s="674"/>
      <c r="F1113" s="674"/>
      <c r="G1113" s="674"/>
      <c r="H1113" s="670"/>
      <c r="I1113" s="670"/>
      <c r="J1113" s="675"/>
      <c r="K1113" s="675"/>
      <c r="L1113" s="675"/>
      <c r="M1113" s="675"/>
      <c r="N1113" s="675"/>
      <c r="O1113" s="675"/>
      <c r="Q1113" s="675"/>
    </row>
    <row r="1114" spans="1:17">
      <c r="B1114" s="332"/>
      <c r="C1114" s="577" t="s">
        <v>289</v>
      </c>
      <c r="D1114" s="674"/>
      <c r="E1114" s="674"/>
      <c r="F1114" s="674"/>
      <c r="G1114" s="674"/>
      <c r="H1114" s="670"/>
      <c r="I1114" s="670"/>
      <c r="J1114" s="675"/>
      <c r="K1114" s="675"/>
      <c r="L1114" s="675"/>
      <c r="M1114" s="675"/>
      <c r="N1114" s="675"/>
      <c r="O1114" s="675"/>
      <c r="Q1114" s="675"/>
    </row>
    <row r="1115" spans="1:17" ht="20.25">
      <c r="A1115" s="676" t="s">
        <v>770</v>
      </c>
      <c r="B1115" s="541"/>
      <c r="C1115" s="656"/>
      <c r="D1115" s="564"/>
      <c r="E1115" s="541"/>
      <c r="F1115" s="646"/>
      <c r="G1115" s="646"/>
      <c r="H1115" s="541"/>
      <c r="I1115" s="647"/>
      <c r="L1115" s="677"/>
      <c r="M1115" s="677"/>
      <c r="N1115" s="677"/>
      <c r="O1115" s="592" t="str">
        <f>"Page "&amp;SUM(Q$3:Q1115)&amp;" of "</f>
        <v xml:space="preserve">Page 14 of </v>
      </c>
      <c r="P1115" s="593">
        <f>COUNT(Q$8:Q$58123)</f>
        <v>16</v>
      </c>
      <c r="Q1115" s="761">
        <v>1</v>
      </c>
    </row>
    <row r="1116" spans="1:17">
      <c r="B1116" s="541"/>
      <c r="C1116" s="541"/>
      <c r="D1116" s="564"/>
      <c r="E1116" s="541"/>
      <c r="F1116" s="541"/>
      <c r="G1116" s="541"/>
      <c r="H1116" s="541"/>
      <c r="I1116" s="647"/>
      <c r="J1116" s="541"/>
      <c r="K1116" s="589"/>
      <c r="Q1116" s="589"/>
    </row>
    <row r="1117" spans="1:17" ht="18">
      <c r="B1117" s="596" t="s">
        <v>174</v>
      </c>
      <c r="C1117" s="678" t="s">
        <v>290</v>
      </c>
      <c r="D1117" s="564"/>
      <c r="E1117" s="541"/>
      <c r="F1117" s="541"/>
      <c r="G1117" s="541"/>
      <c r="H1117" s="541"/>
      <c r="I1117" s="647"/>
      <c r="J1117" s="647"/>
      <c r="K1117" s="670"/>
      <c r="L1117" s="647"/>
      <c r="M1117" s="647"/>
      <c r="N1117" s="647"/>
      <c r="O1117" s="647"/>
      <c r="Q1117" s="670"/>
    </row>
    <row r="1118" spans="1:17" ht="18.75">
      <c r="B1118" s="596"/>
      <c r="C1118" s="595"/>
      <c r="D1118" s="564"/>
      <c r="E1118" s="541"/>
      <c r="F1118" s="541"/>
      <c r="G1118" s="541"/>
      <c r="H1118" s="541"/>
      <c r="I1118" s="647"/>
      <c r="J1118" s="647"/>
      <c r="K1118" s="670"/>
      <c r="L1118" s="647"/>
      <c r="M1118" s="647"/>
      <c r="N1118" s="647"/>
      <c r="O1118" s="647"/>
      <c r="Q1118" s="670"/>
    </row>
    <row r="1119" spans="1:17" ht="18.75">
      <c r="B1119" s="596"/>
      <c r="C1119" s="595" t="s">
        <v>291</v>
      </c>
      <c r="D1119" s="564"/>
      <c r="E1119" s="541"/>
      <c r="F1119" s="541"/>
      <c r="G1119" s="541"/>
      <c r="H1119" s="541"/>
      <c r="I1119" s="647"/>
      <c r="J1119" s="647"/>
      <c r="K1119" s="670"/>
      <c r="L1119" s="647"/>
      <c r="M1119" s="647"/>
      <c r="N1119" s="647"/>
      <c r="O1119" s="647"/>
      <c r="Q1119" s="670"/>
    </row>
    <row r="1120" spans="1:17" ht="15.75" thickBot="1">
      <c r="B1120" s="332"/>
      <c r="C1120" s="398"/>
      <c r="D1120" s="564"/>
      <c r="E1120" s="541"/>
      <c r="F1120" s="541"/>
      <c r="G1120" s="541"/>
      <c r="H1120" s="541"/>
      <c r="I1120" s="647"/>
      <c r="J1120" s="647"/>
      <c r="K1120" s="670"/>
      <c r="L1120" s="647"/>
      <c r="M1120" s="647"/>
      <c r="N1120" s="647"/>
      <c r="O1120" s="647"/>
      <c r="Q1120" s="670"/>
    </row>
    <row r="1121" spans="1:17" ht="15.75">
      <c r="B1121" s="332"/>
      <c r="C1121" s="597" t="s">
        <v>292</v>
      </c>
      <c r="D1121" s="564"/>
      <c r="E1121" s="541"/>
      <c r="F1121" s="541"/>
      <c r="G1121" s="541"/>
      <c r="H1121" s="870"/>
      <c r="I1121" s="541" t="s">
        <v>271</v>
      </c>
      <c r="J1121" s="541"/>
      <c r="K1121" s="589"/>
      <c r="L1121" s="762">
        <f>+J1127</f>
        <v>2020</v>
      </c>
      <c r="M1121" s="744" t="s">
        <v>254</v>
      </c>
      <c r="N1121" s="744" t="s">
        <v>255</v>
      </c>
      <c r="O1121" s="745" t="s">
        <v>256</v>
      </c>
      <c r="Q1121" s="589"/>
    </row>
    <row r="1122" spans="1:17" ht="15.75">
      <c r="B1122" s="332"/>
      <c r="C1122" s="597"/>
      <c r="D1122" s="564"/>
      <c r="E1122" s="541"/>
      <c r="F1122" s="541"/>
      <c r="H1122" s="541"/>
      <c r="I1122" s="682"/>
      <c r="J1122" s="682"/>
      <c r="K1122" s="683"/>
      <c r="L1122" s="763" t="s">
        <v>455</v>
      </c>
      <c r="M1122" s="764">
        <f>VLOOKUP(J1127,C1134:P1193,10)</f>
        <v>4444448.7830443121</v>
      </c>
      <c r="N1122" s="764">
        <f>VLOOKUP(J1127,C1134:P1193,12)</f>
        <v>4444448.7830443121</v>
      </c>
      <c r="O1122" s="765">
        <f>+N1122-M1122</f>
        <v>0</v>
      </c>
      <c r="Q1122" s="683"/>
    </row>
    <row r="1123" spans="1:17">
      <c r="B1123" s="332"/>
      <c r="C1123" s="685" t="s">
        <v>293</v>
      </c>
      <c r="D1123" s="1544" t="s">
        <v>986</v>
      </c>
      <c r="E1123" s="1544"/>
      <c r="F1123" s="1544"/>
      <c r="G1123" s="1544"/>
      <c r="H1123" s="1544"/>
      <c r="I1123" s="647"/>
      <c r="J1123" s="647"/>
      <c r="K1123" s="670"/>
      <c r="L1123" s="763" t="s">
        <v>456</v>
      </c>
      <c r="M1123" s="766">
        <f>VLOOKUP(J1127,C1134:P1193,6)</f>
        <v>8168905.0689650737</v>
      </c>
      <c r="N1123" s="766">
        <f>VLOOKUP(J1127,C1134:P1193,7)</f>
        <v>8168905.0689650737</v>
      </c>
      <c r="O1123" s="767">
        <f>+N1123-M1123</f>
        <v>0</v>
      </c>
      <c r="Q1123" s="670"/>
    </row>
    <row r="1124" spans="1:17" ht="13.5" thickBot="1">
      <c r="B1124" s="332"/>
      <c r="C1124" s="687"/>
      <c r="D1124" s="688"/>
      <c r="E1124" s="672"/>
      <c r="F1124" s="672"/>
      <c r="G1124" s="672"/>
      <c r="H1124" s="689"/>
      <c r="I1124" s="647"/>
      <c r="J1124" s="647"/>
      <c r="K1124" s="670"/>
      <c r="L1124" s="708" t="s">
        <v>457</v>
      </c>
      <c r="M1124" s="768">
        <f>+M1123-M1122</f>
        <v>3724456.2859207615</v>
      </c>
      <c r="N1124" s="768">
        <f>+N1123-N1122</f>
        <v>3724456.2859207615</v>
      </c>
      <c r="O1124" s="769">
        <f>+O1123-O1122</f>
        <v>0</v>
      </c>
      <c r="Q1124" s="670"/>
    </row>
    <row r="1125" spans="1:17" ht="13.5" thickBot="1">
      <c r="B1125" s="332"/>
      <c r="C1125" s="690"/>
      <c r="D1125" s="691"/>
      <c r="E1125" s="689"/>
      <c r="F1125" s="689"/>
      <c r="G1125" s="689"/>
      <c r="H1125" s="689"/>
      <c r="I1125" s="689"/>
      <c r="J1125" s="689"/>
      <c r="K1125" s="692"/>
      <c r="L1125" s="689"/>
      <c r="M1125" s="689"/>
      <c r="N1125" s="689"/>
      <c r="O1125" s="689"/>
      <c r="P1125" s="577"/>
      <c r="Q1125" s="692"/>
    </row>
    <row r="1126" spans="1:17" ht="13.5" thickBot="1">
      <c r="B1126" s="332"/>
      <c r="C1126" s="694" t="s">
        <v>294</v>
      </c>
      <c r="D1126" s="695"/>
      <c r="E1126" s="695"/>
      <c r="F1126" s="695"/>
      <c r="G1126" s="695"/>
      <c r="H1126" s="695"/>
      <c r="I1126" s="695"/>
      <c r="J1126" s="695"/>
      <c r="K1126" s="697"/>
      <c r="P1126" s="698"/>
      <c r="Q1126" s="697"/>
    </row>
    <row r="1127" spans="1:17" ht="15">
      <c r="A1127" s="693"/>
      <c r="B1127" s="332"/>
      <c r="C1127" s="700" t="s">
        <v>272</v>
      </c>
      <c r="D1127" s="1256">
        <v>68620614.390000001</v>
      </c>
      <c r="E1127" s="656" t="s">
        <v>273</v>
      </c>
      <c r="H1127" s="701"/>
      <c r="I1127" s="701"/>
      <c r="J1127" s="702">
        <f>$J$95</f>
        <v>2020</v>
      </c>
      <c r="K1127" s="587"/>
      <c r="L1127" s="1545" t="s">
        <v>274</v>
      </c>
      <c r="M1127" s="1545"/>
      <c r="N1127" s="1545"/>
      <c r="O1127" s="1545"/>
      <c r="P1127" s="589"/>
      <c r="Q1127" s="587"/>
    </row>
    <row r="1128" spans="1:17">
      <c r="A1128" s="693"/>
      <c r="B1128" s="332"/>
      <c r="C1128" s="700" t="s">
        <v>275</v>
      </c>
      <c r="D1128" s="872">
        <v>2018</v>
      </c>
      <c r="E1128" s="700" t="s">
        <v>276</v>
      </c>
      <c r="F1128" s="701"/>
      <c r="G1128" s="701"/>
      <c r="I1128" s="332"/>
      <c r="J1128" s="875">
        <v>0</v>
      </c>
      <c r="K1128" s="703"/>
      <c r="L1128" s="670" t="s">
        <v>475</v>
      </c>
      <c r="P1128" s="589"/>
      <c r="Q1128" s="703"/>
    </row>
    <row r="1129" spans="1:17">
      <c r="A1129" s="693"/>
      <c r="B1129" s="332"/>
      <c r="C1129" s="700" t="s">
        <v>277</v>
      </c>
      <c r="D1129" s="1257">
        <v>10</v>
      </c>
      <c r="E1129" s="700" t="s">
        <v>278</v>
      </c>
      <c r="F1129" s="701"/>
      <c r="G1129" s="701"/>
      <c r="I1129" s="332"/>
      <c r="J1129" s="704">
        <f>$F$70</f>
        <v>0.1009634410531228</v>
      </c>
      <c r="K1129" s="705"/>
      <c r="L1129" s="541" t="str">
        <f>"          INPUT TRUE-UP ARR (WITH &amp; WITHOUT INCENTIVES) FROM EACH PRIOR YEAR"</f>
        <v xml:space="preserve">          INPUT TRUE-UP ARR (WITH &amp; WITHOUT INCENTIVES) FROM EACH PRIOR YEAR</v>
      </c>
      <c r="P1129" s="589"/>
      <c r="Q1129" s="705"/>
    </row>
    <row r="1130" spans="1:17">
      <c r="A1130" s="693"/>
      <c r="B1130" s="332"/>
      <c r="C1130" s="700" t="s">
        <v>279</v>
      </c>
      <c r="D1130" s="706">
        <f>H79</f>
        <v>46</v>
      </c>
      <c r="E1130" s="700" t="s">
        <v>280</v>
      </c>
      <c r="F1130" s="701"/>
      <c r="G1130" s="701"/>
      <c r="I1130" s="332"/>
      <c r="J1130" s="704">
        <f>IF(H1121="",J1129,$F$69)</f>
        <v>0.1009634410531228</v>
      </c>
      <c r="K1130" s="707"/>
      <c r="L1130" s="541" t="s">
        <v>362</v>
      </c>
      <c r="M1130" s="707"/>
      <c r="N1130" s="707"/>
      <c r="O1130" s="707"/>
      <c r="P1130" s="589"/>
      <c r="Q1130" s="707"/>
    </row>
    <row r="1131" spans="1:17" ht="13.5" thickBot="1">
      <c r="A1131" s="693"/>
      <c r="B1131" s="332"/>
      <c r="C1131" s="700" t="s">
        <v>281</v>
      </c>
      <c r="D1131" s="874" t="s">
        <v>974</v>
      </c>
      <c r="E1131" s="708" t="s">
        <v>282</v>
      </c>
      <c r="F1131" s="709"/>
      <c r="G1131" s="709"/>
      <c r="H1131" s="710"/>
      <c r="I1131" s="710"/>
      <c r="J1131" s="686">
        <f>IF(D1127=0,0,D1127/D1130)</f>
        <v>1491752.4867391305</v>
      </c>
      <c r="K1131" s="670"/>
      <c r="L1131" s="670" t="s">
        <v>363</v>
      </c>
      <c r="M1131" s="670"/>
      <c r="N1131" s="670"/>
      <c r="O1131" s="670"/>
      <c r="P1131" s="589"/>
      <c r="Q1131" s="670"/>
    </row>
    <row r="1132" spans="1:17" ht="38.25">
      <c r="A1132" s="528"/>
      <c r="B1132" s="528"/>
      <c r="C1132" s="711" t="s">
        <v>272</v>
      </c>
      <c r="D1132" s="712" t="s">
        <v>283</v>
      </c>
      <c r="E1132" s="713" t="s">
        <v>284</v>
      </c>
      <c r="F1132" s="712" t="s">
        <v>285</v>
      </c>
      <c r="G1132" s="712" t="s">
        <v>458</v>
      </c>
      <c r="H1132" s="713" t="s">
        <v>356</v>
      </c>
      <c r="I1132" s="714" t="s">
        <v>356</v>
      </c>
      <c r="J1132" s="711" t="s">
        <v>295</v>
      </c>
      <c r="K1132" s="715"/>
      <c r="L1132" s="713" t="s">
        <v>358</v>
      </c>
      <c r="M1132" s="713" t="s">
        <v>364</v>
      </c>
      <c r="N1132" s="713" t="s">
        <v>358</v>
      </c>
      <c r="O1132" s="713" t="s">
        <v>366</v>
      </c>
      <c r="P1132" s="713" t="s">
        <v>286</v>
      </c>
      <c r="Q1132" s="716"/>
    </row>
    <row r="1133" spans="1:17" ht="13.5" thickBot="1">
      <c r="B1133" s="332"/>
      <c r="C1133" s="717" t="s">
        <v>177</v>
      </c>
      <c r="D1133" s="718" t="s">
        <v>178</v>
      </c>
      <c r="E1133" s="717" t="s">
        <v>37</v>
      </c>
      <c r="F1133" s="718" t="s">
        <v>178</v>
      </c>
      <c r="G1133" s="718" t="s">
        <v>178</v>
      </c>
      <c r="H1133" s="719" t="s">
        <v>298</v>
      </c>
      <c r="I1133" s="720" t="s">
        <v>300</v>
      </c>
      <c r="J1133" s="721" t="s">
        <v>389</v>
      </c>
      <c r="K1133" s="722"/>
      <c r="L1133" s="719" t="s">
        <v>287</v>
      </c>
      <c r="M1133" s="719" t="s">
        <v>287</v>
      </c>
      <c r="N1133" s="719" t="s">
        <v>467</v>
      </c>
      <c r="O1133" s="719" t="s">
        <v>467</v>
      </c>
      <c r="P1133" s="719" t="s">
        <v>467</v>
      </c>
      <c r="Q1133" s="587"/>
    </row>
    <row r="1134" spans="1:17">
      <c r="B1134" s="332"/>
      <c r="C1134" s="723">
        <f>IF(D1128= "","-",D1128)</f>
        <v>2018</v>
      </c>
      <c r="D1134" s="1453">
        <f>+D1127</f>
        <v>68620614.390000001</v>
      </c>
      <c r="E1134" s="724">
        <f>+J1131/12*(12-D1129)</f>
        <v>248625.41445652174</v>
      </c>
      <c r="F1134" s="770">
        <f t="shared" ref="F1134:F1193" si="104">+D1134-E1134</f>
        <v>68371988.975543484</v>
      </c>
      <c r="G1134" s="674">
        <f t="shared" ref="G1134:G1193" si="105">+(D1134+F1134)/2</f>
        <v>68496301.682771742</v>
      </c>
      <c r="H1134" s="725">
        <f>+J1129*G1134+E1134</f>
        <v>7164247.7317619631</v>
      </c>
      <c r="I1134" s="726">
        <f>+J1130*G1134+E1134</f>
        <v>7164247.7317619631</v>
      </c>
      <c r="J1134" s="727">
        <f t="shared" ref="J1134:J1193" si="106">+I1134-H1134</f>
        <v>0</v>
      </c>
      <c r="K1134" s="727"/>
      <c r="L1134" s="728">
        <v>8045448</v>
      </c>
      <c r="M1134" s="771">
        <f t="shared" ref="M1134:M1193" si="107">IF(L1134&lt;&gt;0,+H1134-L1134,0)</f>
        <v>-881200.26823803689</v>
      </c>
      <c r="N1134" s="728">
        <v>8045448</v>
      </c>
      <c r="O1134" s="771">
        <f t="shared" ref="O1134:O1193" si="108">IF(N1134&lt;&gt;0,+I1134-N1134,0)</f>
        <v>-881200.26823803689</v>
      </c>
      <c r="P1134" s="771">
        <f t="shared" ref="P1134:P1193" si="109">+O1134-M1134</f>
        <v>0</v>
      </c>
      <c r="Q1134" s="675"/>
    </row>
    <row r="1135" spans="1:17">
      <c r="B1135" s="332"/>
      <c r="C1135" s="723">
        <f>IF(D1128="","-",+C1134+1)</f>
        <v>2019</v>
      </c>
      <c r="D1135" s="1270">
        <f t="shared" ref="D1135:D1193" si="110">F1134</f>
        <v>68371988.975543484</v>
      </c>
      <c r="E1135" s="730">
        <f>IF(D1135&gt;$J$1131,$J$1131,D1135)</f>
        <v>1491752.4867391305</v>
      </c>
      <c r="F1135" s="730">
        <f t="shared" si="104"/>
        <v>66880236.488804355</v>
      </c>
      <c r="G1135" s="674">
        <f t="shared" si="105"/>
        <v>67626112.73217392</v>
      </c>
      <c r="H1135" s="724">
        <f>+J1129*G1135+E1135</f>
        <v>8319517.5332258092</v>
      </c>
      <c r="I1135" s="731">
        <f>+J1130*G1135+E1135</f>
        <v>8319517.5332258092</v>
      </c>
      <c r="J1135" s="727">
        <f t="shared" si="106"/>
        <v>0</v>
      </c>
      <c r="K1135" s="727"/>
      <c r="L1135" s="732">
        <v>8376163</v>
      </c>
      <c r="M1135" s="727">
        <f t="shared" si="107"/>
        <v>-56645.466774190776</v>
      </c>
      <c r="N1135" s="732">
        <v>8376163</v>
      </c>
      <c r="O1135" s="727">
        <f t="shared" si="108"/>
        <v>-56645.466774190776</v>
      </c>
      <c r="P1135" s="727">
        <f t="shared" si="109"/>
        <v>0</v>
      </c>
      <c r="Q1135" s="675"/>
    </row>
    <row r="1136" spans="1:17">
      <c r="B1136" s="332"/>
      <c r="C1136" s="723">
        <f>IF(D1128="","-",+C1135+1)</f>
        <v>2020</v>
      </c>
      <c r="D1136" s="1270">
        <f t="shared" si="110"/>
        <v>66880236.488804355</v>
      </c>
      <c r="E1136" s="730">
        <f t="shared" ref="E1136:E1193" si="111">IF(D1136&gt;$J$1131,$J$1131,D1136)</f>
        <v>1491752.4867391305</v>
      </c>
      <c r="F1136" s="730">
        <f t="shared" si="104"/>
        <v>65388484.002065226</v>
      </c>
      <c r="G1136" s="674">
        <f t="shared" si="105"/>
        <v>66134360.245434791</v>
      </c>
      <c r="H1136" s="724">
        <f>+J1129*G1136+E1136</f>
        <v>8168905.0689650737</v>
      </c>
      <c r="I1136" s="731">
        <f>+J1130*G1136+E1136</f>
        <v>8168905.0689650737</v>
      </c>
      <c r="J1136" s="727">
        <f t="shared" si="106"/>
        <v>0</v>
      </c>
      <c r="K1136" s="727"/>
      <c r="L1136" s="732">
        <v>4444448.7830443121</v>
      </c>
      <c r="M1136" s="727">
        <f t="shared" si="107"/>
        <v>3724456.2859207615</v>
      </c>
      <c r="N1136" s="732">
        <v>4444448.7830443121</v>
      </c>
      <c r="O1136" s="727">
        <f t="shared" si="108"/>
        <v>3724456.2859207615</v>
      </c>
      <c r="P1136" s="727">
        <f t="shared" si="109"/>
        <v>0</v>
      </c>
      <c r="Q1136" s="675"/>
    </row>
    <row r="1137" spans="2:17">
      <c r="B1137" s="332"/>
      <c r="C1137" s="723">
        <f>IF(D1128="","-",+C1136+1)</f>
        <v>2021</v>
      </c>
      <c r="D1137" s="1270">
        <f t="shared" si="110"/>
        <v>65388484.002065226</v>
      </c>
      <c r="E1137" s="730">
        <f t="shared" si="111"/>
        <v>1491752.4867391305</v>
      </c>
      <c r="F1137" s="730">
        <f t="shared" si="104"/>
        <v>63896731.515326098</v>
      </c>
      <c r="G1137" s="674">
        <f t="shared" si="105"/>
        <v>64642607.758695662</v>
      </c>
      <c r="H1137" s="724">
        <f>+J1129*G1137+E1137</f>
        <v>8018292.6047043391</v>
      </c>
      <c r="I1137" s="731">
        <f>+J1130*G1137+E1137</f>
        <v>8018292.6047043391</v>
      </c>
      <c r="J1137" s="727">
        <f t="shared" si="106"/>
        <v>0</v>
      </c>
      <c r="K1137" s="727"/>
      <c r="L1137" s="732">
        <v>0</v>
      </c>
      <c r="M1137" s="727">
        <f t="shared" si="107"/>
        <v>0</v>
      </c>
      <c r="N1137" s="732">
        <v>0</v>
      </c>
      <c r="O1137" s="727">
        <f t="shared" si="108"/>
        <v>0</v>
      </c>
      <c r="P1137" s="727">
        <f t="shared" si="109"/>
        <v>0</v>
      </c>
      <c r="Q1137" s="675"/>
    </row>
    <row r="1138" spans="2:17">
      <c r="B1138" s="332"/>
      <c r="C1138" s="723">
        <f>IF(D1128="","-",+C1137+1)</f>
        <v>2022</v>
      </c>
      <c r="D1138" s="1270">
        <f t="shared" si="110"/>
        <v>63896731.515326098</v>
      </c>
      <c r="E1138" s="730">
        <f t="shared" si="111"/>
        <v>1491752.4867391305</v>
      </c>
      <c r="F1138" s="730">
        <f t="shared" si="104"/>
        <v>62404979.028586969</v>
      </c>
      <c r="G1138" s="674">
        <f t="shared" si="105"/>
        <v>63150855.271956533</v>
      </c>
      <c r="H1138" s="724">
        <f>+J1129*G1138+E1138</f>
        <v>7867680.1404436035</v>
      </c>
      <c r="I1138" s="731">
        <f>+J1130*G1138+E1138</f>
        <v>7867680.1404436035</v>
      </c>
      <c r="J1138" s="727">
        <f t="shared" si="106"/>
        <v>0</v>
      </c>
      <c r="K1138" s="727"/>
      <c r="L1138" s="732">
        <v>0</v>
      </c>
      <c r="M1138" s="727">
        <f t="shared" si="107"/>
        <v>0</v>
      </c>
      <c r="N1138" s="732">
        <v>0</v>
      </c>
      <c r="O1138" s="727">
        <f t="shared" si="108"/>
        <v>0</v>
      </c>
      <c r="P1138" s="727">
        <f t="shared" si="109"/>
        <v>0</v>
      </c>
      <c r="Q1138" s="675"/>
    </row>
    <row r="1139" spans="2:17">
      <c r="B1139" s="332"/>
      <c r="C1139" s="723">
        <f>IF(D1128="","-",+C1138+1)</f>
        <v>2023</v>
      </c>
      <c r="D1139" s="674">
        <f t="shared" si="110"/>
        <v>62404979.028586969</v>
      </c>
      <c r="E1139" s="730">
        <f t="shared" si="111"/>
        <v>1491752.4867391305</v>
      </c>
      <c r="F1139" s="730">
        <f t="shared" si="104"/>
        <v>60913226.54184784</v>
      </c>
      <c r="G1139" s="674">
        <f t="shared" si="105"/>
        <v>61659102.785217404</v>
      </c>
      <c r="H1139" s="724">
        <f>+J1129*G1139+E1139</f>
        <v>7717067.676182868</v>
      </c>
      <c r="I1139" s="731">
        <f>+J1130*G1139+E1139</f>
        <v>7717067.676182868</v>
      </c>
      <c r="J1139" s="727">
        <f t="shared" si="106"/>
        <v>0</v>
      </c>
      <c r="K1139" s="727"/>
      <c r="L1139" s="732">
        <v>0</v>
      </c>
      <c r="M1139" s="727">
        <f t="shared" si="107"/>
        <v>0</v>
      </c>
      <c r="N1139" s="732">
        <v>0</v>
      </c>
      <c r="O1139" s="727">
        <f t="shared" si="108"/>
        <v>0</v>
      </c>
      <c r="P1139" s="727">
        <f t="shared" si="109"/>
        <v>0</v>
      </c>
      <c r="Q1139" s="675"/>
    </row>
    <row r="1140" spans="2:17">
      <c r="B1140" s="332"/>
      <c r="C1140" s="723">
        <f>IF(D1128="","-",+C1139+1)</f>
        <v>2024</v>
      </c>
      <c r="D1140" s="674">
        <f t="shared" si="110"/>
        <v>60913226.54184784</v>
      </c>
      <c r="E1140" s="730">
        <f t="shared" si="111"/>
        <v>1491752.4867391305</v>
      </c>
      <c r="F1140" s="730">
        <f t="shared" si="104"/>
        <v>59421474.055108711</v>
      </c>
      <c r="G1140" s="674">
        <f t="shared" si="105"/>
        <v>60167350.298478276</v>
      </c>
      <c r="H1140" s="724">
        <f>+J1129*G1140+E1140</f>
        <v>7566455.2119221324</v>
      </c>
      <c r="I1140" s="731">
        <f>+J1130*G1140+E1140</f>
        <v>7566455.2119221324</v>
      </c>
      <c r="J1140" s="727">
        <f t="shared" si="106"/>
        <v>0</v>
      </c>
      <c r="K1140" s="727"/>
      <c r="L1140" s="732">
        <v>0</v>
      </c>
      <c r="M1140" s="727">
        <f t="shared" si="107"/>
        <v>0</v>
      </c>
      <c r="N1140" s="732">
        <v>0</v>
      </c>
      <c r="O1140" s="727">
        <f t="shared" si="108"/>
        <v>0</v>
      </c>
      <c r="P1140" s="727">
        <f t="shared" si="109"/>
        <v>0</v>
      </c>
      <c r="Q1140" s="675"/>
    </row>
    <row r="1141" spans="2:17">
      <c r="B1141" s="332"/>
      <c r="C1141" s="723">
        <f>IF(D1128="","-",+C1140+1)</f>
        <v>2025</v>
      </c>
      <c r="D1141" s="674">
        <f t="shared" si="110"/>
        <v>59421474.055108711</v>
      </c>
      <c r="E1141" s="730">
        <f t="shared" si="111"/>
        <v>1491752.4867391305</v>
      </c>
      <c r="F1141" s="730">
        <f t="shared" si="104"/>
        <v>57929721.568369582</v>
      </c>
      <c r="G1141" s="674">
        <f t="shared" si="105"/>
        <v>58675597.811739147</v>
      </c>
      <c r="H1141" s="724">
        <f>+J1129*G1141+E1141</f>
        <v>7415842.7476613969</v>
      </c>
      <c r="I1141" s="731">
        <f>+J1130*G1141+E1141</f>
        <v>7415842.7476613969</v>
      </c>
      <c r="J1141" s="727">
        <f t="shared" si="106"/>
        <v>0</v>
      </c>
      <c r="K1141" s="727"/>
      <c r="L1141" s="732">
        <v>0</v>
      </c>
      <c r="M1141" s="727">
        <f t="shared" si="107"/>
        <v>0</v>
      </c>
      <c r="N1141" s="732">
        <v>0</v>
      </c>
      <c r="O1141" s="727">
        <f t="shared" si="108"/>
        <v>0</v>
      </c>
      <c r="P1141" s="727">
        <f t="shared" si="109"/>
        <v>0</v>
      </c>
      <c r="Q1141" s="675"/>
    </row>
    <row r="1142" spans="2:17">
      <c r="B1142" s="332"/>
      <c r="C1142" s="723">
        <f>IF(D1128="","-",+C1141+1)</f>
        <v>2026</v>
      </c>
      <c r="D1142" s="674">
        <f t="shared" si="110"/>
        <v>57929721.568369582</v>
      </c>
      <c r="E1142" s="730">
        <f t="shared" si="111"/>
        <v>1491752.4867391305</v>
      </c>
      <c r="F1142" s="730">
        <f t="shared" si="104"/>
        <v>56437969.081630453</v>
      </c>
      <c r="G1142" s="674">
        <f t="shared" si="105"/>
        <v>57183845.325000018</v>
      </c>
      <c r="H1142" s="724">
        <f>+J1129*G1142+E1142</f>
        <v>7265230.2834006613</v>
      </c>
      <c r="I1142" s="731">
        <f>+J1130*G1142+E1142</f>
        <v>7265230.2834006613</v>
      </c>
      <c r="J1142" s="727">
        <f t="shared" si="106"/>
        <v>0</v>
      </c>
      <c r="K1142" s="727"/>
      <c r="L1142" s="732">
        <v>0</v>
      </c>
      <c r="M1142" s="727">
        <f t="shared" si="107"/>
        <v>0</v>
      </c>
      <c r="N1142" s="732">
        <v>0</v>
      </c>
      <c r="O1142" s="727">
        <f t="shared" si="108"/>
        <v>0</v>
      </c>
      <c r="P1142" s="727">
        <f t="shared" si="109"/>
        <v>0</v>
      </c>
      <c r="Q1142" s="675"/>
    </row>
    <row r="1143" spans="2:17">
      <c r="B1143" s="332"/>
      <c r="C1143" s="723">
        <f>IF(D1128="","-",+C1142+1)</f>
        <v>2027</v>
      </c>
      <c r="D1143" s="674">
        <f t="shared" si="110"/>
        <v>56437969.081630453</v>
      </c>
      <c r="E1143" s="730">
        <f t="shared" si="111"/>
        <v>1491752.4867391305</v>
      </c>
      <c r="F1143" s="730">
        <f t="shared" si="104"/>
        <v>54946216.594891325</v>
      </c>
      <c r="G1143" s="674">
        <f t="shared" si="105"/>
        <v>55692092.838260889</v>
      </c>
      <c r="H1143" s="724">
        <f>+J1129*G1143+E1143</f>
        <v>7114617.8191399267</v>
      </c>
      <c r="I1143" s="731">
        <f>+J1130*G1143+E1143</f>
        <v>7114617.8191399267</v>
      </c>
      <c r="J1143" s="727">
        <f t="shared" si="106"/>
        <v>0</v>
      </c>
      <c r="K1143" s="727"/>
      <c r="L1143" s="732">
        <v>0</v>
      </c>
      <c r="M1143" s="727">
        <f t="shared" si="107"/>
        <v>0</v>
      </c>
      <c r="N1143" s="732">
        <v>0</v>
      </c>
      <c r="O1143" s="727">
        <f t="shared" si="108"/>
        <v>0</v>
      </c>
      <c r="P1143" s="727">
        <f t="shared" si="109"/>
        <v>0</v>
      </c>
      <c r="Q1143" s="675"/>
    </row>
    <row r="1144" spans="2:17">
      <c r="B1144" s="332"/>
      <c r="C1144" s="723">
        <f>IF(D1128="","-",+C1143+1)</f>
        <v>2028</v>
      </c>
      <c r="D1144" s="674">
        <f t="shared" si="110"/>
        <v>54946216.594891325</v>
      </c>
      <c r="E1144" s="730">
        <f t="shared" si="111"/>
        <v>1491752.4867391305</v>
      </c>
      <c r="F1144" s="730">
        <f t="shared" si="104"/>
        <v>53454464.108152196</v>
      </c>
      <c r="G1144" s="674">
        <f t="shared" si="105"/>
        <v>54200340.35152176</v>
      </c>
      <c r="H1144" s="724">
        <f>+J1129*G1144+E1144</f>
        <v>6964005.3548791911</v>
      </c>
      <c r="I1144" s="731">
        <f>+J1130*G1144+E1144</f>
        <v>6964005.3548791911</v>
      </c>
      <c r="J1144" s="727">
        <f t="shared" si="106"/>
        <v>0</v>
      </c>
      <c r="K1144" s="727"/>
      <c r="L1144" s="732">
        <v>0</v>
      </c>
      <c r="M1144" s="727">
        <f t="shared" si="107"/>
        <v>0</v>
      </c>
      <c r="N1144" s="732">
        <v>0</v>
      </c>
      <c r="O1144" s="727">
        <f t="shared" si="108"/>
        <v>0</v>
      </c>
      <c r="P1144" s="727">
        <f t="shared" si="109"/>
        <v>0</v>
      </c>
      <c r="Q1144" s="675"/>
    </row>
    <row r="1145" spans="2:17">
      <c r="B1145" s="332"/>
      <c r="C1145" s="723">
        <f>IF(D1128="","-",+C1144+1)</f>
        <v>2029</v>
      </c>
      <c r="D1145" s="674">
        <f t="shared" si="110"/>
        <v>53454464.108152196</v>
      </c>
      <c r="E1145" s="730">
        <f t="shared" si="111"/>
        <v>1491752.4867391305</v>
      </c>
      <c r="F1145" s="730">
        <f t="shared" si="104"/>
        <v>51962711.621413067</v>
      </c>
      <c r="G1145" s="674">
        <f t="shared" si="105"/>
        <v>52708587.864782631</v>
      </c>
      <c r="H1145" s="724">
        <f>+J1129*G1145+E1145</f>
        <v>6813392.8906184556</v>
      </c>
      <c r="I1145" s="731">
        <f>+J1130*G1145+E1145</f>
        <v>6813392.8906184556</v>
      </c>
      <c r="J1145" s="727">
        <f t="shared" si="106"/>
        <v>0</v>
      </c>
      <c r="K1145" s="727"/>
      <c r="L1145" s="732"/>
      <c r="M1145" s="727">
        <f t="shared" si="107"/>
        <v>0</v>
      </c>
      <c r="N1145" s="732"/>
      <c r="O1145" s="727">
        <f t="shared" si="108"/>
        <v>0</v>
      </c>
      <c r="P1145" s="727">
        <f t="shared" si="109"/>
        <v>0</v>
      </c>
      <c r="Q1145" s="675"/>
    </row>
    <row r="1146" spans="2:17">
      <c r="B1146" s="332"/>
      <c r="C1146" s="723">
        <f>IF(D1128="","-",+C1145+1)</f>
        <v>2030</v>
      </c>
      <c r="D1146" s="674">
        <f t="shared" si="110"/>
        <v>51962711.621413067</v>
      </c>
      <c r="E1146" s="730">
        <f t="shared" si="111"/>
        <v>1491752.4867391305</v>
      </c>
      <c r="F1146" s="730">
        <f t="shared" si="104"/>
        <v>50470959.134673938</v>
      </c>
      <c r="G1146" s="674">
        <f t="shared" si="105"/>
        <v>51216835.378043503</v>
      </c>
      <c r="H1146" s="724">
        <f>+J1129*G1146+E1146</f>
        <v>6662780.42635772</v>
      </c>
      <c r="I1146" s="731">
        <f>+J1130*G1146+E1146</f>
        <v>6662780.42635772</v>
      </c>
      <c r="J1146" s="727">
        <f t="shared" si="106"/>
        <v>0</v>
      </c>
      <c r="K1146" s="727"/>
      <c r="L1146" s="732"/>
      <c r="M1146" s="727">
        <f t="shared" si="107"/>
        <v>0</v>
      </c>
      <c r="N1146" s="732"/>
      <c r="O1146" s="727">
        <f t="shared" si="108"/>
        <v>0</v>
      </c>
      <c r="P1146" s="727">
        <f t="shared" si="109"/>
        <v>0</v>
      </c>
      <c r="Q1146" s="675"/>
    </row>
    <row r="1147" spans="2:17">
      <c r="B1147" s="332"/>
      <c r="C1147" s="723">
        <f>IF(D1128="","-",+C1146+1)</f>
        <v>2031</v>
      </c>
      <c r="D1147" s="674">
        <f t="shared" si="110"/>
        <v>50470959.134673938</v>
      </c>
      <c r="E1147" s="730">
        <f t="shared" si="111"/>
        <v>1491752.4867391305</v>
      </c>
      <c r="F1147" s="730">
        <f t="shared" si="104"/>
        <v>48979206.647934809</v>
      </c>
      <c r="G1147" s="674">
        <f t="shared" si="105"/>
        <v>49725082.891304374</v>
      </c>
      <c r="H1147" s="724">
        <f>+J1129*G1147+E1147</f>
        <v>6512167.9620969845</v>
      </c>
      <c r="I1147" s="731">
        <f>+J1130*G1147+E1147</f>
        <v>6512167.9620969845</v>
      </c>
      <c r="J1147" s="727">
        <f t="shared" si="106"/>
        <v>0</v>
      </c>
      <c r="K1147" s="727"/>
      <c r="L1147" s="732"/>
      <c r="M1147" s="727">
        <f t="shared" si="107"/>
        <v>0</v>
      </c>
      <c r="N1147" s="732"/>
      <c r="O1147" s="727">
        <f t="shared" si="108"/>
        <v>0</v>
      </c>
      <c r="P1147" s="727">
        <f t="shared" si="109"/>
        <v>0</v>
      </c>
      <c r="Q1147" s="675"/>
    </row>
    <row r="1148" spans="2:17">
      <c r="B1148" s="332"/>
      <c r="C1148" s="723">
        <f>IF(D1128="","-",+C1147+1)</f>
        <v>2032</v>
      </c>
      <c r="D1148" s="674">
        <f t="shared" si="110"/>
        <v>48979206.647934809</v>
      </c>
      <c r="E1148" s="730">
        <f t="shared" si="111"/>
        <v>1491752.4867391305</v>
      </c>
      <c r="F1148" s="730">
        <f t="shared" si="104"/>
        <v>47487454.16119568</v>
      </c>
      <c r="G1148" s="674">
        <f t="shared" si="105"/>
        <v>48233330.404565245</v>
      </c>
      <c r="H1148" s="724">
        <f>+J1129*G1148+E1148</f>
        <v>6361555.4978362499</v>
      </c>
      <c r="I1148" s="731">
        <f>+J1130*G1148+E1148</f>
        <v>6361555.4978362499</v>
      </c>
      <c r="J1148" s="727">
        <f t="shared" si="106"/>
        <v>0</v>
      </c>
      <c r="K1148" s="727"/>
      <c r="L1148" s="732"/>
      <c r="M1148" s="727">
        <f t="shared" si="107"/>
        <v>0</v>
      </c>
      <c r="N1148" s="732"/>
      <c r="O1148" s="727">
        <f t="shared" si="108"/>
        <v>0</v>
      </c>
      <c r="P1148" s="727">
        <f t="shared" si="109"/>
        <v>0</v>
      </c>
      <c r="Q1148" s="675"/>
    </row>
    <row r="1149" spans="2:17">
      <c r="B1149" s="332"/>
      <c r="C1149" s="723">
        <f>IF(D1128="","-",+C1148+1)</f>
        <v>2033</v>
      </c>
      <c r="D1149" s="674">
        <f t="shared" si="110"/>
        <v>47487454.16119568</v>
      </c>
      <c r="E1149" s="730">
        <f t="shared" si="111"/>
        <v>1491752.4867391305</v>
      </c>
      <c r="F1149" s="730">
        <f t="shared" si="104"/>
        <v>45995701.674456552</v>
      </c>
      <c r="G1149" s="674">
        <f t="shared" si="105"/>
        <v>46741577.917826116</v>
      </c>
      <c r="H1149" s="724">
        <f>+J1129*G1149+E1149</f>
        <v>6210943.0335755143</v>
      </c>
      <c r="I1149" s="731">
        <f>+J1130*G1149+E1149</f>
        <v>6210943.0335755143</v>
      </c>
      <c r="J1149" s="727">
        <f t="shared" si="106"/>
        <v>0</v>
      </c>
      <c r="K1149" s="727"/>
      <c r="L1149" s="732"/>
      <c r="M1149" s="727">
        <f t="shared" si="107"/>
        <v>0</v>
      </c>
      <c r="N1149" s="732"/>
      <c r="O1149" s="727">
        <f t="shared" si="108"/>
        <v>0</v>
      </c>
      <c r="P1149" s="727">
        <f t="shared" si="109"/>
        <v>0</v>
      </c>
      <c r="Q1149" s="675"/>
    </row>
    <row r="1150" spans="2:17">
      <c r="B1150" s="332"/>
      <c r="C1150" s="723">
        <f>IF(D1128="","-",+C1149+1)</f>
        <v>2034</v>
      </c>
      <c r="D1150" s="674">
        <f t="shared" si="110"/>
        <v>45995701.674456552</v>
      </c>
      <c r="E1150" s="730">
        <f t="shared" si="111"/>
        <v>1491752.4867391305</v>
      </c>
      <c r="F1150" s="730">
        <f t="shared" si="104"/>
        <v>44503949.187717423</v>
      </c>
      <c r="G1150" s="674">
        <f t="shared" si="105"/>
        <v>45249825.431086987</v>
      </c>
      <c r="H1150" s="724">
        <f>+J1129*G1150+E1150</f>
        <v>6060330.5693147788</v>
      </c>
      <c r="I1150" s="731">
        <f>+J1130*G1150+E1150</f>
        <v>6060330.5693147788</v>
      </c>
      <c r="J1150" s="727">
        <f t="shared" si="106"/>
        <v>0</v>
      </c>
      <c r="K1150" s="727"/>
      <c r="L1150" s="732"/>
      <c r="M1150" s="727">
        <f t="shared" si="107"/>
        <v>0</v>
      </c>
      <c r="N1150" s="732"/>
      <c r="O1150" s="727">
        <f t="shared" si="108"/>
        <v>0</v>
      </c>
      <c r="P1150" s="727">
        <f t="shared" si="109"/>
        <v>0</v>
      </c>
      <c r="Q1150" s="675"/>
    </row>
    <row r="1151" spans="2:17">
      <c r="B1151" s="332"/>
      <c r="C1151" s="723">
        <f>IF(D1128="","-",+C1150+1)</f>
        <v>2035</v>
      </c>
      <c r="D1151" s="674">
        <f t="shared" si="110"/>
        <v>44503949.187717423</v>
      </c>
      <c r="E1151" s="730">
        <f t="shared" si="111"/>
        <v>1491752.4867391305</v>
      </c>
      <c r="F1151" s="730">
        <f t="shared" si="104"/>
        <v>43012196.700978294</v>
      </c>
      <c r="G1151" s="674">
        <f t="shared" si="105"/>
        <v>43758072.944347858</v>
      </c>
      <c r="H1151" s="724">
        <f>+J1129*G1151+E1151</f>
        <v>5909718.1050540432</v>
      </c>
      <c r="I1151" s="731">
        <f>+J1130*G1151+E1151</f>
        <v>5909718.1050540432</v>
      </c>
      <c r="J1151" s="727">
        <f t="shared" si="106"/>
        <v>0</v>
      </c>
      <c r="K1151" s="727"/>
      <c r="L1151" s="732"/>
      <c r="M1151" s="727">
        <f t="shared" si="107"/>
        <v>0</v>
      </c>
      <c r="N1151" s="732"/>
      <c r="O1151" s="727">
        <f t="shared" si="108"/>
        <v>0</v>
      </c>
      <c r="P1151" s="727">
        <f t="shared" si="109"/>
        <v>0</v>
      </c>
      <c r="Q1151" s="675"/>
    </row>
    <row r="1152" spans="2:17">
      <c r="B1152" s="332"/>
      <c r="C1152" s="723">
        <f>IF(D1128="","-",+C1151+1)</f>
        <v>2036</v>
      </c>
      <c r="D1152" s="674">
        <f t="shared" si="110"/>
        <v>43012196.700978294</v>
      </c>
      <c r="E1152" s="730">
        <f t="shared" si="111"/>
        <v>1491752.4867391305</v>
      </c>
      <c r="F1152" s="730">
        <f t="shared" si="104"/>
        <v>41520444.214239165</v>
      </c>
      <c r="G1152" s="674">
        <f t="shared" si="105"/>
        <v>42266320.45760873</v>
      </c>
      <c r="H1152" s="724">
        <f>+J1129*G1152+E1152</f>
        <v>5759105.6407933077</v>
      </c>
      <c r="I1152" s="731">
        <f>+J1130*G1152+E1152</f>
        <v>5759105.6407933077</v>
      </c>
      <c r="J1152" s="727">
        <f t="shared" si="106"/>
        <v>0</v>
      </c>
      <c r="K1152" s="727"/>
      <c r="L1152" s="732"/>
      <c r="M1152" s="727">
        <f t="shared" si="107"/>
        <v>0</v>
      </c>
      <c r="N1152" s="732"/>
      <c r="O1152" s="727">
        <f t="shared" si="108"/>
        <v>0</v>
      </c>
      <c r="P1152" s="727">
        <f t="shared" si="109"/>
        <v>0</v>
      </c>
      <c r="Q1152" s="675"/>
    </row>
    <row r="1153" spans="2:17">
      <c r="B1153" s="332"/>
      <c r="C1153" s="723">
        <f>IF(D1128="","-",+C1152+1)</f>
        <v>2037</v>
      </c>
      <c r="D1153" s="674">
        <f t="shared" si="110"/>
        <v>41520444.214239165</v>
      </c>
      <c r="E1153" s="730">
        <f t="shared" si="111"/>
        <v>1491752.4867391305</v>
      </c>
      <c r="F1153" s="730">
        <f t="shared" si="104"/>
        <v>40028691.727500036</v>
      </c>
      <c r="G1153" s="674">
        <f t="shared" si="105"/>
        <v>40774567.970869601</v>
      </c>
      <c r="H1153" s="724">
        <f>+J1129*G1153+E1153</f>
        <v>5608493.1765325721</v>
      </c>
      <c r="I1153" s="731">
        <f>+J1130*G1153+E1153</f>
        <v>5608493.1765325721</v>
      </c>
      <c r="J1153" s="727">
        <f t="shared" si="106"/>
        <v>0</v>
      </c>
      <c r="K1153" s="727"/>
      <c r="L1153" s="732"/>
      <c r="M1153" s="727">
        <f t="shared" si="107"/>
        <v>0</v>
      </c>
      <c r="N1153" s="732"/>
      <c r="O1153" s="727">
        <f t="shared" si="108"/>
        <v>0</v>
      </c>
      <c r="P1153" s="727">
        <f t="shared" si="109"/>
        <v>0</v>
      </c>
      <c r="Q1153" s="675"/>
    </row>
    <row r="1154" spans="2:17">
      <c r="B1154" s="332"/>
      <c r="C1154" s="723">
        <f>IF(D1128="","-",+C1153+1)</f>
        <v>2038</v>
      </c>
      <c r="D1154" s="674">
        <f t="shared" si="110"/>
        <v>40028691.727500036</v>
      </c>
      <c r="E1154" s="730">
        <f t="shared" si="111"/>
        <v>1491752.4867391305</v>
      </c>
      <c r="F1154" s="730">
        <f t="shared" si="104"/>
        <v>38536939.240760908</v>
      </c>
      <c r="G1154" s="674">
        <f t="shared" si="105"/>
        <v>39282815.484130472</v>
      </c>
      <c r="H1154" s="724">
        <f>+J1129*G1154+E1154</f>
        <v>5457880.7122718366</v>
      </c>
      <c r="I1154" s="731">
        <f>+J1130*G1154+E1154</f>
        <v>5457880.7122718366</v>
      </c>
      <c r="J1154" s="727">
        <f t="shared" si="106"/>
        <v>0</v>
      </c>
      <c r="K1154" s="727"/>
      <c r="L1154" s="732"/>
      <c r="M1154" s="727">
        <f t="shared" si="107"/>
        <v>0</v>
      </c>
      <c r="N1154" s="732"/>
      <c r="O1154" s="727">
        <f t="shared" si="108"/>
        <v>0</v>
      </c>
      <c r="P1154" s="727">
        <f t="shared" si="109"/>
        <v>0</v>
      </c>
      <c r="Q1154" s="675"/>
    </row>
    <row r="1155" spans="2:17">
      <c r="B1155" s="332"/>
      <c r="C1155" s="723">
        <f>IF(D1128="","-",+C1154+1)</f>
        <v>2039</v>
      </c>
      <c r="D1155" s="674">
        <f t="shared" si="110"/>
        <v>38536939.240760908</v>
      </c>
      <c r="E1155" s="730">
        <f t="shared" si="111"/>
        <v>1491752.4867391305</v>
      </c>
      <c r="F1155" s="730">
        <f t="shared" si="104"/>
        <v>37045186.754021779</v>
      </c>
      <c r="G1155" s="674">
        <f t="shared" si="105"/>
        <v>37791062.997391343</v>
      </c>
      <c r="H1155" s="724">
        <f>+J1129*G1155+E1155</f>
        <v>5307268.248011102</v>
      </c>
      <c r="I1155" s="731">
        <f>+J1130*G1155+E1155</f>
        <v>5307268.248011102</v>
      </c>
      <c r="J1155" s="727">
        <f t="shared" si="106"/>
        <v>0</v>
      </c>
      <c r="K1155" s="727"/>
      <c r="L1155" s="732"/>
      <c r="M1155" s="727">
        <f t="shared" si="107"/>
        <v>0</v>
      </c>
      <c r="N1155" s="732"/>
      <c r="O1155" s="727">
        <f t="shared" si="108"/>
        <v>0</v>
      </c>
      <c r="P1155" s="727">
        <f t="shared" si="109"/>
        <v>0</v>
      </c>
      <c r="Q1155" s="675"/>
    </row>
    <row r="1156" spans="2:17">
      <c r="B1156" s="332"/>
      <c r="C1156" s="723">
        <f>IF(D1128="","-",+C1155+1)</f>
        <v>2040</v>
      </c>
      <c r="D1156" s="674">
        <f t="shared" si="110"/>
        <v>37045186.754021779</v>
      </c>
      <c r="E1156" s="730">
        <f t="shared" si="111"/>
        <v>1491752.4867391305</v>
      </c>
      <c r="F1156" s="730">
        <f t="shared" si="104"/>
        <v>35553434.26728265</v>
      </c>
      <c r="G1156" s="674">
        <f t="shared" si="105"/>
        <v>36299310.510652214</v>
      </c>
      <c r="H1156" s="724">
        <f>+J1129*G1156+E1156</f>
        <v>5156655.7837503664</v>
      </c>
      <c r="I1156" s="731">
        <f>+J1130*G1156+E1156</f>
        <v>5156655.7837503664</v>
      </c>
      <c r="J1156" s="727">
        <f t="shared" si="106"/>
        <v>0</v>
      </c>
      <c r="K1156" s="727"/>
      <c r="L1156" s="732"/>
      <c r="M1156" s="727">
        <f t="shared" si="107"/>
        <v>0</v>
      </c>
      <c r="N1156" s="732"/>
      <c r="O1156" s="727">
        <f t="shared" si="108"/>
        <v>0</v>
      </c>
      <c r="P1156" s="727">
        <f t="shared" si="109"/>
        <v>0</v>
      </c>
      <c r="Q1156" s="675"/>
    </row>
    <row r="1157" spans="2:17">
      <c r="B1157" s="332"/>
      <c r="C1157" s="723">
        <f>IF(D1128="","-",+C1156+1)</f>
        <v>2041</v>
      </c>
      <c r="D1157" s="674">
        <f t="shared" si="110"/>
        <v>35553434.26728265</v>
      </c>
      <c r="E1157" s="730">
        <f t="shared" si="111"/>
        <v>1491752.4867391305</v>
      </c>
      <c r="F1157" s="730">
        <f t="shared" si="104"/>
        <v>34061681.780543521</v>
      </c>
      <c r="G1157" s="674">
        <f t="shared" si="105"/>
        <v>34807558.023913085</v>
      </c>
      <c r="H1157" s="724">
        <f>+J1129*G1157+E1157</f>
        <v>5006043.3194896309</v>
      </c>
      <c r="I1157" s="731">
        <f>+J1130*G1157+E1157</f>
        <v>5006043.3194896309</v>
      </c>
      <c r="J1157" s="727">
        <f t="shared" si="106"/>
        <v>0</v>
      </c>
      <c r="K1157" s="727"/>
      <c r="L1157" s="732"/>
      <c r="M1157" s="727">
        <f t="shared" si="107"/>
        <v>0</v>
      </c>
      <c r="N1157" s="732"/>
      <c r="O1157" s="727">
        <f t="shared" si="108"/>
        <v>0</v>
      </c>
      <c r="P1157" s="727">
        <f t="shared" si="109"/>
        <v>0</v>
      </c>
      <c r="Q1157" s="675"/>
    </row>
    <row r="1158" spans="2:17">
      <c r="B1158" s="332"/>
      <c r="C1158" s="723">
        <f>IF(D1128="","-",+C1157+1)</f>
        <v>2042</v>
      </c>
      <c r="D1158" s="674">
        <f t="shared" si="110"/>
        <v>34061681.780543521</v>
      </c>
      <c r="E1158" s="730">
        <f t="shared" si="111"/>
        <v>1491752.4867391305</v>
      </c>
      <c r="F1158" s="730">
        <f t="shared" si="104"/>
        <v>32569929.293804392</v>
      </c>
      <c r="G1158" s="674">
        <f t="shared" si="105"/>
        <v>33315805.537173957</v>
      </c>
      <c r="H1158" s="724">
        <f>+J1129*G1158+E1158</f>
        <v>4855430.8552288953</v>
      </c>
      <c r="I1158" s="731">
        <f>+J1130*G1158+E1158</f>
        <v>4855430.8552288953</v>
      </c>
      <c r="J1158" s="727">
        <f t="shared" si="106"/>
        <v>0</v>
      </c>
      <c r="K1158" s="727"/>
      <c r="L1158" s="732"/>
      <c r="M1158" s="727">
        <f t="shared" si="107"/>
        <v>0</v>
      </c>
      <c r="N1158" s="732"/>
      <c r="O1158" s="727">
        <f t="shared" si="108"/>
        <v>0</v>
      </c>
      <c r="P1158" s="727">
        <f t="shared" si="109"/>
        <v>0</v>
      </c>
      <c r="Q1158" s="675"/>
    </row>
    <row r="1159" spans="2:17">
      <c r="B1159" s="332"/>
      <c r="C1159" s="723">
        <f>IF(D1128="","-",+C1158+1)</f>
        <v>2043</v>
      </c>
      <c r="D1159" s="674">
        <f t="shared" si="110"/>
        <v>32569929.293804392</v>
      </c>
      <c r="E1159" s="730">
        <f t="shared" si="111"/>
        <v>1491752.4867391305</v>
      </c>
      <c r="F1159" s="730">
        <f t="shared" si="104"/>
        <v>31078176.807065263</v>
      </c>
      <c r="G1159" s="674">
        <f t="shared" si="105"/>
        <v>31824053.050434828</v>
      </c>
      <c r="H1159" s="724">
        <f>+J1129*G1159+E1159</f>
        <v>4704818.3909681598</v>
      </c>
      <c r="I1159" s="731">
        <f>+J1130*G1159+E1159</f>
        <v>4704818.3909681598</v>
      </c>
      <c r="J1159" s="727">
        <f t="shared" si="106"/>
        <v>0</v>
      </c>
      <c r="K1159" s="727"/>
      <c r="L1159" s="732"/>
      <c r="M1159" s="727">
        <f t="shared" si="107"/>
        <v>0</v>
      </c>
      <c r="N1159" s="732"/>
      <c r="O1159" s="727">
        <f t="shared" si="108"/>
        <v>0</v>
      </c>
      <c r="P1159" s="727">
        <f t="shared" si="109"/>
        <v>0</v>
      </c>
      <c r="Q1159" s="675"/>
    </row>
    <row r="1160" spans="2:17">
      <c r="B1160" s="332"/>
      <c r="C1160" s="723">
        <f>IF(D1128="","-",+C1159+1)</f>
        <v>2044</v>
      </c>
      <c r="D1160" s="674">
        <f t="shared" si="110"/>
        <v>31078176.807065263</v>
      </c>
      <c r="E1160" s="730">
        <f t="shared" si="111"/>
        <v>1491752.4867391305</v>
      </c>
      <c r="F1160" s="730">
        <f t="shared" si="104"/>
        <v>29586424.320326135</v>
      </c>
      <c r="G1160" s="674">
        <f t="shared" si="105"/>
        <v>30332300.563695699</v>
      </c>
      <c r="H1160" s="724">
        <f>+J1129*G1160+E1160</f>
        <v>4554205.9267074242</v>
      </c>
      <c r="I1160" s="731">
        <f>+J1130*G1160+E1160</f>
        <v>4554205.9267074242</v>
      </c>
      <c r="J1160" s="727">
        <f t="shared" si="106"/>
        <v>0</v>
      </c>
      <c r="K1160" s="727"/>
      <c r="L1160" s="732"/>
      <c r="M1160" s="727">
        <f t="shared" si="107"/>
        <v>0</v>
      </c>
      <c r="N1160" s="732"/>
      <c r="O1160" s="727">
        <f t="shared" si="108"/>
        <v>0</v>
      </c>
      <c r="P1160" s="727">
        <f t="shared" si="109"/>
        <v>0</v>
      </c>
      <c r="Q1160" s="675"/>
    </row>
    <row r="1161" spans="2:17">
      <c r="B1161" s="332"/>
      <c r="C1161" s="723">
        <f>IF(D1128="","-",+C1160+1)</f>
        <v>2045</v>
      </c>
      <c r="D1161" s="674">
        <f t="shared" si="110"/>
        <v>29586424.320326135</v>
      </c>
      <c r="E1161" s="730">
        <f t="shared" si="111"/>
        <v>1491752.4867391305</v>
      </c>
      <c r="F1161" s="730">
        <f t="shared" si="104"/>
        <v>28094671.833587006</v>
      </c>
      <c r="G1161" s="674">
        <f t="shared" si="105"/>
        <v>28840548.07695657</v>
      </c>
      <c r="H1161" s="724">
        <f>+J1129*G1161+E1161</f>
        <v>4403593.4624466896</v>
      </c>
      <c r="I1161" s="731">
        <f>+J1130*G1161+E1161</f>
        <v>4403593.4624466896</v>
      </c>
      <c r="J1161" s="727">
        <f t="shared" si="106"/>
        <v>0</v>
      </c>
      <c r="K1161" s="727"/>
      <c r="L1161" s="732"/>
      <c r="M1161" s="727">
        <f t="shared" si="107"/>
        <v>0</v>
      </c>
      <c r="N1161" s="732"/>
      <c r="O1161" s="727">
        <f t="shared" si="108"/>
        <v>0</v>
      </c>
      <c r="P1161" s="727">
        <f t="shared" si="109"/>
        <v>0</v>
      </c>
      <c r="Q1161" s="675"/>
    </row>
    <row r="1162" spans="2:17">
      <c r="B1162" s="332"/>
      <c r="C1162" s="723">
        <f>IF(D1128="","-",+C1161+1)</f>
        <v>2046</v>
      </c>
      <c r="D1162" s="674">
        <f t="shared" si="110"/>
        <v>28094671.833587006</v>
      </c>
      <c r="E1162" s="730">
        <f t="shared" si="111"/>
        <v>1491752.4867391305</v>
      </c>
      <c r="F1162" s="730">
        <f t="shared" si="104"/>
        <v>26602919.346847877</v>
      </c>
      <c r="G1162" s="674">
        <f t="shared" si="105"/>
        <v>27348795.590217441</v>
      </c>
      <c r="H1162" s="724">
        <f>+J1129*G1162+E1162</f>
        <v>4252980.9981859541</v>
      </c>
      <c r="I1162" s="731">
        <f>+J1130*G1162+E1162</f>
        <v>4252980.9981859541</v>
      </c>
      <c r="J1162" s="727">
        <f t="shared" si="106"/>
        <v>0</v>
      </c>
      <c r="K1162" s="727"/>
      <c r="L1162" s="732"/>
      <c r="M1162" s="727">
        <f t="shared" si="107"/>
        <v>0</v>
      </c>
      <c r="N1162" s="732"/>
      <c r="O1162" s="727">
        <f t="shared" si="108"/>
        <v>0</v>
      </c>
      <c r="P1162" s="727">
        <f t="shared" si="109"/>
        <v>0</v>
      </c>
      <c r="Q1162" s="675"/>
    </row>
    <row r="1163" spans="2:17">
      <c r="B1163" s="332"/>
      <c r="C1163" s="723">
        <f>IF(D1128="","-",+C1162+1)</f>
        <v>2047</v>
      </c>
      <c r="D1163" s="674">
        <f t="shared" si="110"/>
        <v>26602919.346847877</v>
      </c>
      <c r="E1163" s="730">
        <f t="shared" si="111"/>
        <v>1491752.4867391305</v>
      </c>
      <c r="F1163" s="730">
        <f t="shared" si="104"/>
        <v>25111166.860108748</v>
      </c>
      <c r="G1163" s="674">
        <f t="shared" si="105"/>
        <v>25857043.103478312</v>
      </c>
      <c r="H1163" s="724">
        <f>+J1129*G1163+E1163</f>
        <v>4102368.5339252185</v>
      </c>
      <c r="I1163" s="731">
        <f>+J1130*G1163+E1163</f>
        <v>4102368.5339252185</v>
      </c>
      <c r="J1163" s="727">
        <f t="shared" si="106"/>
        <v>0</v>
      </c>
      <c r="K1163" s="727"/>
      <c r="L1163" s="732"/>
      <c r="M1163" s="727">
        <f t="shared" si="107"/>
        <v>0</v>
      </c>
      <c r="N1163" s="732"/>
      <c r="O1163" s="727">
        <f t="shared" si="108"/>
        <v>0</v>
      </c>
      <c r="P1163" s="727">
        <f t="shared" si="109"/>
        <v>0</v>
      </c>
      <c r="Q1163" s="675"/>
    </row>
    <row r="1164" spans="2:17">
      <c r="B1164" s="332"/>
      <c r="C1164" s="723">
        <f>IF(D1128="","-",+C1163+1)</f>
        <v>2048</v>
      </c>
      <c r="D1164" s="674">
        <f t="shared" si="110"/>
        <v>25111166.860108748</v>
      </c>
      <c r="E1164" s="730">
        <f t="shared" si="111"/>
        <v>1491752.4867391305</v>
      </c>
      <c r="F1164" s="730">
        <f t="shared" si="104"/>
        <v>23619414.373369619</v>
      </c>
      <c r="G1164" s="674">
        <f t="shared" si="105"/>
        <v>24365290.616739184</v>
      </c>
      <c r="H1164" s="724">
        <f>+J1129*G1164+E1164</f>
        <v>3951756.069664483</v>
      </c>
      <c r="I1164" s="731">
        <f>+J1130*G1164+E1164</f>
        <v>3951756.069664483</v>
      </c>
      <c r="J1164" s="727">
        <f t="shared" si="106"/>
        <v>0</v>
      </c>
      <c r="K1164" s="727"/>
      <c r="L1164" s="732"/>
      <c r="M1164" s="727">
        <f t="shared" si="107"/>
        <v>0</v>
      </c>
      <c r="N1164" s="732"/>
      <c r="O1164" s="727">
        <f t="shared" si="108"/>
        <v>0</v>
      </c>
      <c r="P1164" s="727">
        <f t="shared" si="109"/>
        <v>0</v>
      </c>
      <c r="Q1164" s="675"/>
    </row>
    <row r="1165" spans="2:17">
      <c r="B1165" s="332"/>
      <c r="C1165" s="723">
        <f>IF(D1128="","-",+C1164+1)</f>
        <v>2049</v>
      </c>
      <c r="D1165" s="674">
        <f t="shared" si="110"/>
        <v>23619414.373369619</v>
      </c>
      <c r="E1165" s="730">
        <f t="shared" si="111"/>
        <v>1491752.4867391305</v>
      </c>
      <c r="F1165" s="730">
        <f t="shared" si="104"/>
        <v>22127661.88663049</v>
      </c>
      <c r="G1165" s="674">
        <f t="shared" si="105"/>
        <v>22873538.130000055</v>
      </c>
      <c r="H1165" s="724">
        <f>+J1129*G1165+E1165</f>
        <v>3801143.6054037474</v>
      </c>
      <c r="I1165" s="731">
        <f>+J1130*G1165+E1165</f>
        <v>3801143.6054037474</v>
      </c>
      <c r="J1165" s="727">
        <f t="shared" si="106"/>
        <v>0</v>
      </c>
      <c r="K1165" s="727"/>
      <c r="L1165" s="732"/>
      <c r="M1165" s="727">
        <f t="shared" si="107"/>
        <v>0</v>
      </c>
      <c r="N1165" s="732"/>
      <c r="O1165" s="727">
        <f t="shared" si="108"/>
        <v>0</v>
      </c>
      <c r="P1165" s="727">
        <f t="shared" si="109"/>
        <v>0</v>
      </c>
      <c r="Q1165" s="675"/>
    </row>
    <row r="1166" spans="2:17">
      <c r="B1166" s="332"/>
      <c r="C1166" s="723">
        <f>IF(D1128="","-",+C1165+1)</f>
        <v>2050</v>
      </c>
      <c r="D1166" s="674">
        <f t="shared" si="110"/>
        <v>22127661.88663049</v>
      </c>
      <c r="E1166" s="730">
        <f t="shared" si="111"/>
        <v>1491752.4867391305</v>
      </c>
      <c r="F1166" s="730">
        <f t="shared" si="104"/>
        <v>20635909.399891362</v>
      </c>
      <c r="G1166" s="674">
        <f t="shared" si="105"/>
        <v>21381785.643260926</v>
      </c>
      <c r="H1166" s="724">
        <f>+J1129*G1166+E1166</f>
        <v>3650531.1411430119</v>
      </c>
      <c r="I1166" s="731">
        <f>+J1130*G1166+E1166</f>
        <v>3650531.1411430119</v>
      </c>
      <c r="J1166" s="727">
        <f t="shared" si="106"/>
        <v>0</v>
      </c>
      <c r="K1166" s="727"/>
      <c r="L1166" s="732"/>
      <c r="M1166" s="727">
        <f t="shared" si="107"/>
        <v>0</v>
      </c>
      <c r="N1166" s="732"/>
      <c r="O1166" s="727">
        <f t="shared" si="108"/>
        <v>0</v>
      </c>
      <c r="P1166" s="727">
        <f t="shared" si="109"/>
        <v>0</v>
      </c>
      <c r="Q1166" s="675"/>
    </row>
    <row r="1167" spans="2:17">
      <c r="B1167" s="332"/>
      <c r="C1167" s="723">
        <f>IF(D1128="","-",+C1166+1)</f>
        <v>2051</v>
      </c>
      <c r="D1167" s="674">
        <f t="shared" si="110"/>
        <v>20635909.399891362</v>
      </c>
      <c r="E1167" s="730">
        <f t="shared" si="111"/>
        <v>1491752.4867391305</v>
      </c>
      <c r="F1167" s="730">
        <f t="shared" si="104"/>
        <v>19144156.913152233</v>
      </c>
      <c r="G1167" s="674">
        <f t="shared" si="105"/>
        <v>19890033.156521797</v>
      </c>
      <c r="H1167" s="724">
        <f>+J1129*G1167+E1167</f>
        <v>3499918.6768822772</v>
      </c>
      <c r="I1167" s="731">
        <f>+J1130*G1167+E1167</f>
        <v>3499918.6768822772</v>
      </c>
      <c r="J1167" s="727">
        <f t="shared" si="106"/>
        <v>0</v>
      </c>
      <c r="K1167" s="727"/>
      <c r="L1167" s="732"/>
      <c r="M1167" s="727">
        <f t="shared" si="107"/>
        <v>0</v>
      </c>
      <c r="N1167" s="732"/>
      <c r="O1167" s="727">
        <f t="shared" si="108"/>
        <v>0</v>
      </c>
      <c r="P1167" s="727">
        <f t="shared" si="109"/>
        <v>0</v>
      </c>
      <c r="Q1167" s="675"/>
    </row>
    <row r="1168" spans="2:17">
      <c r="B1168" s="332"/>
      <c r="C1168" s="723">
        <f>IF(D1128="","-",+C1167+1)</f>
        <v>2052</v>
      </c>
      <c r="D1168" s="674">
        <f t="shared" si="110"/>
        <v>19144156.913152233</v>
      </c>
      <c r="E1168" s="730">
        <f t="shared" si="111"/>
        <v>1491752.4867391305</v>
      </c>
      <c r="F1168" s="730">
        <f t="shared" si="104"/>
        <v>17652404.426413104</v>
      </c>
      <c r="G1168" s="674">
        <f t="shared" si="105"/>
        <v>18398280.669782668</v>
      </c>
      <c r="H1168" s="724">
        <f>+J1129*G1168+E1168</f>
        <v>3349306.2126215417</v>
      </c>
      <c r="I1168" s="731">
        <f>+J1130*G1168+E1168</f>
        <v>3349306.2126215417</v>
      </c>
      <c r="J1168" s="727">
        <f t="shared" si="106"/>
        <v>0</v>
      </c>
      <c r="K1168" s="727"/>
      <c r="L1168" s="732"/>
      <c r="M1168" s="727">
        <f t="shared" si="107"/>
        <v>0</v>
      </c>
      <c r="N1168" s="732"/>
      <c r="O1168" s="727">
        <f t="shared" si="108"/>
        <v>0</v>
      </c>
      <c r="P1168" s="727">
        <f t="shared" si="109"/>
        <v>0</v>
      </c>
      <c r="Q1168" s="675"/>
    </row>
    <row r="1169" spans="2:17">
      <c r="B1169" s="332"/>
      <c r="C1169" s="723">
        <f>IF(D1128="","-",+C1168+1)</f>
        <v>2053</v>
      </c>
      <c r="D1169" s="674">
        <f t="shared" si="110"/>
        <v>17652404.426413104</v>
      </c>
      <c r="E1169" s="730">
        <f t="shared" si="111"/>
        <v>1491752.4867391305</v>
      </c>
      <c r="F1169" s="730">
        <f t="shared" si="104"/>
        <v>16160651.939673973</v>
      </c>
      <c r="G1169" s="674">
        <f t="shared" si="105"/>
        <v>16906528.18304354</v>
      </c>
      <c r="H1169" s="724">
        <f>+J1129*G1169+E1169</f>
        <v>3198693.7483608061</v>
      </c>
      <c r="I1169" s="731">
        <f>+J1130*G1169+E1169</f>
        <v>3198693.7483608061</v>
      </c>
      <c r="J1169" s="727">
        <f t="shared" si="106"/>
        <v>0</v>
      </c>
      <c r="K1169" s="727"/>
      <c r="L1169" s="732"/>
      <c r="M1169" s="727">
        <f t="shared" si="107"/>
        <v>0</v>
      </c>
      <c r="N1169" s="732"/>
      <c r="O1169" s="727">
        <f t="shared" si="108"/>
        <v>0</v>
      </c>
      <c r="P1169" s="727">
        <f t="shared" si="109"/>
        <v>0</v>
      </c>
      <c r="Q1169" s="675"/>
    </row>
    <row r="1170" spans="2:17">
      <c r="B1170" s="332"/>
      <c r="C1170" s="723">
        <f>IF(D1128="","-",+C1169+1)</f>
        <v>2054</v>
      </c>
      <c r="D1170" s="674">
        <f t="shared" si="110"/>
        <v>16160651.939673973</v>
      </c>
      <c r="E1170" s="730">
        <f t="shared" si="111"/>
        <v>1491752.4867391305</v>
      </c>
      <c r="F1170" s="730">
        <f t="shared" si="104"/>
        <v>14668899.452934843</v>
      </c>
      <c r="G1170" s="674">
        <f t="shared" si="105"/>
        <v>15414775.696304407</v>
      </c>
      <c r="H1170" s="724">
        <f>+J1129*G1170+E1170</f>
        <v>3048081.2841000706</v>
      </c>
      <c r="I1170" s="731">
        <f>+J1130*G1170+E1170</f>
        <v>3048081.2841000706</v>
      </c>
      <c r="J1170" s="727">
        <f t="shared" si="106"/>
        <v>0</v>
      </c>
      <c r="K1170" s="727"/>
      <c r="L1170" s="732"/>
      <c r="M1170" s="727">
        <f t="shared" si="107"/>
        <v>0</v>
      </c>
      <c r="N1170" s="732"/>
      <c r="O1170" s="727">
        <f t="shared" si="108"/>
        <v>0</v>
      </c>
      <c r="P1170" s="727">
        <f t="shared" si="109"/>
        <v>0</v>
      </c>
      <c r="Q1170" s="675"/>
    </row>
    <row r="1171" spans="2:17">
      <c r="B1171" s="332"/>
      <c r="C1171" s="723">
        <f>IF(D1128="","-",+C1170+1)</f>
        <v>2055</v>
      </c>
      <c r="D1171" s="674">
        <f t="shared" si="110"/>
        <v>14668899.452934843</v>
      </c>
      <c r="E1171" s="730">
        <f t="shared" si="111"/>
        <v>1491752.4867391305</v>
      </c>
      <c r="F1171" s="730">
        <f t="shared" si="104"/>
        <v>13177146.966195712</v>
      </c>
      <c r="G1171" s="674">
        <f t="shared" si="105"/>
        <v>13923023.209565278</v>
      </c>
      <c r="H1171" s="724">
        <f>+J1129*G1171+E1171</f>
        <v>2897468.819839335</v>
      </c>
      <c r="I1171" s="731">
        <f>+J1130*G1171+E1171</f>
        <v>2897468.819839335</v>
      </c>
      <c r="J1171" s="727">
        <f t="shared" si="106"/>
        <v>0</v>
      </c>
      <c r="K1171" s="727"/>
      <c r="L1171" s="732"/>
      <c r="M1171" s="727">
        <f t="shared" si="107"/>
        <v>0</v>
      </c>
      <c r="N1171" s="732"/>
      <c r="O1171" s="727">
        <f t="shared" si="108"/>
        <v>0</v>
      </c>
      <c r="P1171" s="727">
        <f t="shared" si="109"/>
        <v>0</v>
      </c>
      <c r="Q1171" s="675"/>
    </row>
    <row r="1172" spans="2:17">
      <c r="B1172" s="332"/>
      <c r="C1172" s="723">
        <f>IF(D1128="","-",+C1171+1)</f>
        <v>2056</v>
      </c>
      <c r="D1172" s="674">
        <f t="shared" si="110"/>
        <v>13177146.966195712</v>
      </c>
      <c r="E1172" s="730">
        <f t="shared" si="111"/>
        <v>1491752.4867391305</v>
      </c>
      <c r="F1172" s="730">
        <f t="shared" si="104"/>
        <v>11685394.479456581</v>
      </c>
      <c r="G1172" s="674">
        <f t="shared" si="105"/>
        <v>12431270.722826146</v>
      </c>
      <c r="H1172" s="724">
        <f>+J1129*G1172+E1172</f>
        <v>2746856.3555785995</v>
      </c>
      <c r="I1172" s="731">
        <f>+J1130*G1172+E1172</f>
        <v>2746856.3555785995</v>
      </c>
      <c r="J1172" s="727">
        <f t="shared" si="106"/>
        <v>0</v>
      </c>
      <c r="K1172" s="727"/>
      <c r="L1172" s="732"/>
      <c r="M1172" s="727">
        <f t="shared" si="107"/>
        <v>0</v>
      </c>
      <c r="N1172" s="732"/>
      <c r="O1172" s="727">
        <f t="shared" si="108"/>
        <v>0</v>
      </c>
      <c r="P1172" s="727">
        <f t="shared" si="109"/>
        <v>0</v>
      </c>
      <c r="Q1172" s="675"/>
    </row>
    <row r="1173" spans="2:17">
      <c r="B1173" s="332"/>
      <c r="C1173" s="723">
        <f>IF(D1128="","-",+C1172+1)</f>
        <v>2057</v>
      </c>
      <c r="D1173" s="674">
        <f t="shared" si="110"/>
        <v>11685394.479456581</v>
      </c>
      <c r="E1173" s="730">
        <f t="shared" si="111"/>
        <v>1491752.4867391305</v>
      </c>
      <c r="F1173" s="730">
        <f t="shared" si="104"/>
        <v>10193641.99271745</v>
      </c>
      <c r="G1173" s="674">
        <f t="shared" si="105"/>
        <v>10939518.236087017</v>
      </c>
      <c r="H1173" s="724">
        <f>+J1129*G1173+E1173</f>
        <v>2596243.8913178639</v>
      </c>
      <c r="I1173" s="731">
        <f>+J1130*G1173+E1173</f>
        <v>2596243.8913178639</v>
      </c>
      <c r="J1173" s="727">
        <f t="shared" si="106"/>
        <v>0</v>
      </c>
      <c r="K1173" s="727"/>
      <c r="L1173" s="732"/>
      <c r="M1173" s="727">
        <f t="shared" si="107"/>
        <v>0</v>
      </c>
      <c r="N1173" s="732"/>
      <c r="O1173" s="727">
        <f t="shared" si="108"/>
        <v>0</v>
      </c>
      <c r="P1173" s="727">
        <f t="shared" si="109"/>
        <v>0</v>
      </c>
      <c r="Q1173" s="675"/>
    </row>
    <row r="1174" spans="2:17">
      <c r="B1174" s="332"/>
      <c r="C1174" s="723">
        <f>IF(D1128="","-",+C1173+1)</f>
        <v>2058</v>
      </c>
      <c r="D1174" s="674">
        <f t="shared" si="110"/>
        <v>10193641.99271745</v>
      </c>
      <c r="E1174" s="730">
        <f t="shared" si="111"/>
        <v>1491752.4867391305</v>
      </c>
      <c r="F1174" s="730">
        <f t="shared" si="104"/>
        <v>8701889.5059783198</v>
      </c>
      <c r="G1174" s="674">
        <f t="shared" si="105"/>
        <v>9447765.7493478842</v>
      </c>
      <c r="H1174" s="724">
        <f>+J1129*G1174+E1174</f>
        <v>2445631.4270571284</v>
      </c>
      <c r="I1174" s="731">
        <f>+J1130*G1174+E1174</f>
        <v>2445631.4270571284</v>
      </c>
      <c r="J1174" s="727">
        <f t="shared" si="106"/>
        <v>0</v>
      </c>
      <c r="K1174" s="727"/>
      <c r="L1174" s="732"/>
      <c r="M1174" s="727">
        <f t="shared" si="107"/>
        <v>0</v>
      </c>
      <c r="N1174" s="732"/>
      <c r="O1174" s="727">
        <f t="shared" si="108"/>
        <v>0</v>
      </c>
      <c r="P1174" s="727">
        <f t="shared" si="109"/>
        <v>0</v>
      </c>
      <c r="Q1174" s="675"/>
    </row>
    <row r="1175" spans="2:17">
      <c r="B1175" s="332"/>
      <c r="C1175" s="723">
        <f>IF(D1128="","-",+C1174+1)</f>
        <v>2059</v>
      </c>
      <c r="D1175" s="674">
        <f t="shared" si="110"/>
        <v>8701889.5059783198</v>
      </c>
      <c r="E1175" s="730">
        <f t="shared" si="111"/>
        <v>1491752.4867391305</v>
      </c>
      <c r="F1175" s="730">
        <f t="shared" si="104"/>
        <v>7210137.0192391891</v>
      </c>
      <c r="G1175" s="674">
        <f t="shared" si="105"/>
        <v>7956013.2626087544</v>
      </c>
      <c r="H1175" s="724">
        <f>+J1129*G1175+E1175</f>
        <v>2295018.9627963929</v>
      </c>
      <c r="I1175" s="731">
        <f>+J1130*G1175+E1175</f>
        <v>2295018.9627963929</v>
      </c>
      <c r="J1175" s="727">
        <f t="shared" si="106"/>
        <v>0</v>
      </c>
      <c r="K1175" s="727"/>
      <c r="L1175" s="732"/>
      <c r="M1175" s="727">
        <f t="shared" si="107"/>
        <v>0</v>
      </c>
      <c r="N1175" s="732"/>
      <c r="O1175" s="727">
        <f t="shared" si="108"/>
        <v>0</v>
      </c>
      <c r="P1175" s="727">
        <f t="shared" si="109"/>
        <v>0</v>
      </c>
      <c r="Q1175" s="675"/>
    </row>
    <row r="1176" spans="2:17">
      <c r="B1176" s="332"/>
      <c r="C1176" s="723">
        <f>IF(D1128="","-",+C1175+1)</f>
        <v>2060</v>
      </c>
      <c r="D1176" s="674">
        <f t="shared" si="110"/>
        <v>7210137.0192391891</v>
      </c>
      <c r="E1176" s="730">
        <f t="shared" si="111"/>
        <v>1491752.4867391305</v>
      </c>
      <c r="F1176" s="730">
        <f t="shared" si="104"/>
        <v>5718384.5325000584</v>
      </c>
      <c r="G1176" s="674">
        <f t="shared" si="105"/>
        <v>6464260.7758696238</v>
      </c>
      <c r="H1176" s="724">
        <f>+J1129*G1176+E1176</f>
        <v>2144406.4985356573</v>
      </c>
      <c r="I1176" s="731">
        <f>+J1130*G1176+E1176</f>
        <v>2144406.4985356573</v>
      </c>
      <c r="J1176" s="727">
        <f t="shared" si="106"/>
        <v>0</v>
      </c>
      <c r="K1176" s="727"/>
      <c r="L1176" s="732"/>
      <c r="M1176" s="727">
        <f t="shared" si="107"/>
        <v>0</v>
      </c>
      <c r="N1176" s="732"/>
      <c r="O1176" s="727">
        <f t="shared" si="108"/>
        <v>0</v>
      </c>
      <c r="P1176" s="727">
        <f t="shared" si="109"/>
        <v>0</v>
      </c>
      <c r="Q1176" s="675"/>
    </row>
    <row r="1177" spans="2:17">
      <c r="B1177" s="332"/>
      <c r="C1177" s="723">
        <f>IF(D1128="","-",+C1176+1)</f>
        <v>2061</v>
      </c>
      <c r="D1177" s="674">
        <f t="shared" si="110"/>
        <v>5718384.5325000584</v>
      </c>
      <c r="E1177" s="730">
        <f t="shared" si="111"/>
        <v>1491752.4867391305</v>
      </c>
      <c r="F1177" s="730">
        <f t="shared" si="104"/>
        <v>4226632.0457609277</v>
      </c>
      <c r="G1177" s="674">
        <f t="shared" si="105"/>
        <v>4972508.2891304931</v>
      </c>
      <c r="H1177" s="724">
        <f>+J1129*G1177+E1177</f>
        <v>1993794.0342749215</v>
      </c>
      <c r="I1177" s="731">
        <f>+J1130*G1177+E1177</f>
        <v>1993794.0342749215</v>
      </c>
      <c r="J1177" s="727">
        <f t="shared" si="106"/>
        <v>0</v>
      </c>
      <c r="K1177" s="727"/>
      <c r="L1177" s="732"/>
      <c r="M1177" s="727">
        <f t="shared" si="107"/>
        <v>0</v>
      </c>
      <c r="N1177" s="732"/>
      <c r="O1177" s="727">
        <f t="shared" si="108"/>
        <v>0</v>
      </c>
      <c r="P1177" s="727">
        <f t="shared" si="109"/>
        <v>0</v>
      </c>
      <c r="Q1177" s="675"/>
    </row>
    <row r="1178" spans="2:17">
      <c r="B1178" s="332"/>
      <c r="C1178" s="723">
        <f>IF(D1128="","-",+C1177+1)</f>
        <v>2062</v>
      </c>
      <c r="D1178" s="674">
        <f t="shared" si="110"/>
        <v>4226632.0457609277</v>
      </c>
      <c r="E1178" s="730">
        <f t="shared" si="111"/>
        <v>1491752.4867391305</v>
      </c>
      <c r="F1178" s="730">
        <f t="shared" si="104"/>
        <v>2734879.559021797</v>
      </c>
      <c r="G1178" s="674">
        <f t="shared" si="105"/>
        <v>3480755.8023913624</v>
      </c>
      <c r="H1178" s="724">
        <f>+J1129*G1178+E1178</f>
        <v>1843181.570014186</v>
      </c>
      <c r="I1178" s="731">
        <f>+J1130*G1178+E1178</f>
        <v>1843181.570014186</v>
      </c>
      <c r="J1178" s="727">
        <f t="shared" si="106"/>
        <v>0</v>
      </c>
      <c r="K1178" s="727"/>
      <c r="L1178" s="732"/>
      <c r="M1178" s="727">
        <f t="shared" si="107"/>
        <v>0</v>
      </c>
      <c r="N1178" s="732"/>
      <c r="O1178" s="727">
        <f t="shared" si="108"/>
        <v>0</v>
      </c>
      <c r="P1178" s="727">
        <f t="shared" si="109"/>
        <v>0</v>
      </c>
      <c r="Q1178" s="675"/>
    </row>
    <row r="1179" spans="2:17">
      <c r="B1179" s="332"/>
      <c r="C1179" s="723">
        <f>IF(D1128="","-",+C1178+1)</f>
        <v>2063</v>
      </c>
      <c r="D1179" s="674">
        <f t="shared" si="110"/>
        <v>2734879.559021797</v>
      </c>
      <c r="E1179" s="730">
        <f t="shared" si="111"/>
        <v>1491752.4867391305</v>
      </c>
      <c r="F1179" s="730">
        <f t="shared" si="104"/>
        <v>1243127.0722826666</v>
      </c>
      <c r="G1179" s="674">
        <f t="shared" si="105"/>
        <v>1989003.3156522317</v>
      </c>
      <c r="H1179" s="724">
        <f>+J1129*G1179+E1179</f>
        <v>1692569.1057534504</v>
      </c>
      <c r="I1179" s="731">
        <f>+J1130*G1179+E1179</f>
        <v>1692569.1057534504</v>
      </c>
      <c r="J1179" s="727">
        <f t="shared" si="106"/>
        <v>0</v>
      </c>
      <c r="K1179" s="727"/>
      <c r="L1179" s="732"/>
      <c r="M1179" s="727">
        <f t="shared" si="107"/>
        <v>0</v>
      </c>
      <c r="N1179" s="732"/>
      <c r="O1179" s="727">
        <f t="shared" si="108"/>
        <v>0</v>
      </c>
      <c r="P1179" s="727">
        <f t="shared" si="109"/>
        <v>0</v>
      </c>
      <c r="Q1179" s="675"/>
    </row>
    <row r="1180" spans="2:17">
      <c r="B1180" s="332"/>
      <c r="C1180" s="723">
        <f>IF(D1128="","-",+C1179+1)</f>
        <v>2064</v>
      </c>
      <c r="D1180" s="674">
        <f t="shared" si="110"/>
        <v>1243127.0722826666</v>
      </c>
      <c r="E1180" s="730">
        <f t="shared" si="111"/>
        <v>1243127.0722826666</v>
      </c>
      <c r="F1180" s="730">
        <f t="shared" si="104"/>
        <v>0</v>
      </c>
      <c r="G1180" s="674">
        <f t="shared" si="105"/>
        <v>621563.53614133329</v>
      </c>
      <c r="H1180" s="724">
        <f>+J1129*G1180+E1180</f>
        <v>1305882.2657246427</v>
      </c>
      <c r="I1180" s="731">
        <f>+J1130*G1180+E1180</f>
        <v>1305882.2657246427</v>
      </c>
      <c r="J1180" s="727">
        <f t="shared" si="106"/>
        <v>0</v>
      </c>
      <c r="K1180" s="727"/>
      <c r="L1180" s="732"/>
      <c r="M1180" s="727">
        <f t="shared" si="107"/>
        <v>0</v>
      </c>
      <c r="N1180" s="732"/>
      <c r="O1180" s="727">
        <f t="shared" si="108"/>
        <v>0</v>
      </c>
      <c r="P1180" s="727">
        <f t="shared" si="109"/>
        <v>0</v>
      </c>
      <c r="Q1180" s="675"/>
    </row>
    <row r="1181" spans="2:17">
      <c r="B1181" s="332"/>
      <c r="C1181" s="723">
        <f>IF(D1128="","-",+C1180+1)</f>
        <v>2065</v>
      </c>
      <c r="D1181" s="674">
        <f t="shared" si="110"/>
        <v>0</v>
      </c>
      <c r="E1181" s="730">
        <f t="shared" si="111"/>
        <v>0</v>
      </c>
      <c r="F1181" s="730">
        <f t="shared" si="104"/>
        <v>0</v>
      </c>
      <c r="G1181" s="674">
        <f t="shared" si="105"/>
        <v>0</v>
      </c>
      <c r="H1181" s="724">
        <f>+J1129*G1181+E1181</f>
        <v>0</v>
      </c>
      <c r="I1181" s="731">
        <f>+J1130*G1181+E1181</f>
        <v>0</v>
      </c>
      <c r="J1181" s="727">
        <f t="shared" si="106"/>
        <v>0</v>
      </c>
      <c r="K1181" s="727"/>
      <c r="L1181" s="732"/>
      <c r="M1181" s="727">
        <f t="shared" si="107"/>
        <v>0</v>
      </c>
      <c r="N1181" s="732"/>
      <c r="O1181" s="727">
        <f t="shared" si="108"/>
        <v>0</v>
      </c>
      <c r="P1181" s="727">
        <f t="shared" si="109"/>
        <v>0</v>
      </c>
      <c r="Q1181" s="675"/>
    </row>
    <row r="1182" spans="2:17">
      <c r="B1182" s="332"/>
      <c r="C1182" s="723">
        <f>IF(D1128="","-",+C1181+1)</f>
        <v>2066</v>
      </c>
      <c r="D1182" s="674">
        <f t="shared" si="110"/>
        <v>0</v>
      </c>
      <c r="E1182" s="730">
        <f t="shared" si="111"/>
        <v>0</v>
      </c>
      <c r="F1182" s="730">
        <f t="shared" si="104"/>
        <v>0</v>
      </c>
      <c r="G1182" s="674">
        <f t="shared" si="105"/>
        <v>0</v>
      </c>
      <c r="H1182" s="724">
        <f>+J1129*G1182+E1182</f>
        <v>0</v>
      </c>
      <c r="I1182" s="731">
        <f>+J1130*G1182+E1182</f>
        <v>0</v>
      </c>
      <c r="J1182" s="727">
        <f t="shared" si="106"/>
        <v>0</v>
      </c>
      <c r="K1182" s="727"/>
      <c r="L1182" s="732"/>
      <c r="M1182" s="727">
        <f t="shared" si="107"/>
        <v>0</v>
      </c>
      <c r="N1182" s="732"/>
      <c r="O1182" s="727">
        <f t="shared" si="108"/>
        <v>0</v>
      </c>
      <c r="P1182" s="727">
        <f t="shared" si="109"/>
        <v>0</v>
      </c>
      <c r="Q1182" s="675"/>
    </row>
    <row r="1183" spans="2:17">
      <c r="B1183" s="332"/>
      <c r="C1183" s="723">
        <f>IF(D1128="","-",+C1182+1)</f>
        <v>2067</v>
      </c>
      <c r="D1183" s="674">
        <f t="shared" si="110"/>
        <v>0</v>
      </c>
      <c r="E1183" s="730">
        <f t="shared" si="111"/>
        <v>0</v>
      </c>
      <c r="F1183" s="730">
        <f t="shared" si="104"/>
        <v>0</v>
      </c>
      <c r="G1183" s="674">
        <f t="shared" si="105"/>
        <v>0</v>
      </c>
      <c r="H1183" s="724">
        <f>+J1129*G1183+E1183</f>
        <v>0</v>
      </c>
      <c r="I1183" s="731">
        <f>+J1130*G1183+E1183</f>
        <v>0</v>
      </c>
      <c r="J1183" s="727">
        <f t="shared" si="106"/>
        <v>0</v>
      </c>
      <c r="K1183" s="727"/>
      <c r="L1183" s="732"/>
      <c r="M1183" s="727">
        <f t="shared" si="107"/>
        <v>0</v>
      </c>
      <c r="N1183" s="732"/>
      <c r="O1183" s="727">
        <f t="shared" si="108"/>
        <v>0</v>
      </c>
      <c r="P1183" s="727">
        <f t="shared" si="109"/>
        <v>0</v>
      </c>
      <c r="Q1183" s="675"/>
    </row>
    <row r="1184" spans="2:17">
      <c r="B1184" s="332"/>
      <c r="C1184" s="723">
        <f>IF(D1128="","-",+C1183+1)</f>
        <v>2068</v>
      </c>
      <c r="D1184" s="674">
        <f t="shared" si="110"/>
        <v>0</v>
      </c>
      <c r="E1184" s="730">
        <f t="shared" si="111"/>
        <v>0</v>
      </c>
      <c r="F1184" s="730">
        <f t="shared" si="104"/>
        <v>0</v>
      </c>
      <c r="G1184" s="674">
        <f t="shared" si="105"/>
        <v>0</v>
      </c>
      <c r="H1184" s="724">
        <f>+J1129*G1184+E1184</f>
        <v>0</v>
      </c>
      <c r="I1184" s="731">
        <f>+J1130*G1184+E1184</f>
        <v>0</v>
      </c>
      <c r="J1184" s="727">
        <f t="shared" si="106"/>
        <v>0</v>
      </c>
      <c r="K1184" s="727"/>
      <c r="L1184" s="732"/>
      <c r="M1184" s="727">
        <f t="shared" si="107"/>
        <v>0</v>
      </c>
      <c r="N1184" s="732"/>
      <c r="O1184" s="727">
        <f t="shared" si="108"/>
        <v>0</v>
      </c>
      <c r="P1184" s="727">
        <f t="shared" si="109"/>
        <v>0</v>
      </c>
      <c r="Q1184" s="675"/>
    </row>
    <row r="1185" spans="2:17">
      <c r="B1185" s="332"/>
      <c r="C1185" s="723">
        <f>IF(D1128="","-",+C1184+1)</f>
        <v>2069</v>
      </c>
      <c r="D1185" s="674">
        <f t="shared" si="110"/>
        <v>0</v>
      </c>
      <c r="E1185" s="730">
        <f t="shared" si="111"/>
        <v>0</v>
      </c>
      <c r="F1185" s="730">
        <f t="shared" si="104"/>
        <v>0</v>
      </c>
      <c r="G1185" s="674">
        <f t="shared" si="105"/>
        <v>0</v>
      </c>
      <c r="H1185" s="724">
        <f>+J1129*G1185+E1185</f>
        <v>0</v>
      </c>
      <c r="I1185" s="731">
        <f>+J1130*G1185+E1185</f>
        <v>0</v>
      </c>
      <c r="J1185" s="727">
        <f t="shared" si="106"/>
        <v>0</v>
      </c>
      <c r="K1185" s="727"/>
      <c r="L1185" s="732"/>
      <c r="M1185" s="727">
        <f t="shared" si="107"/>
        <v>0</v>
      </c>
      <c r="N1185" s="732"/>
      <c r="O1185" s="727">
        <f t="shared" si="108"/>
        <v>0</v>
      </c>
      <c r="P1185" s="727">
        <f t="shared" si="109"/>
        <v>0</v>
      </c>
      <c r="Q1185" s="675"/>
    </row>
    <row r="1186" spans="2:17">
      <c r="B1186" s="332"/>
      <c r="C1186" s="723">
        <f>IF(D1128="","-",+C1185+1)</f>
        <v>2070</v>
      </c>
      <c r="D1186" s="674">
        <f t="shared" si="110"/>
        <v>0</v>
      </c>
      <c r="E1186" s="730">
        <f t="shared" si="111"/>
        <v>0</v>
      </c>
      <c r="F1186" s="730">
        <f t="shared" si="104"/>
        <v>0</v>
      </c>
      <c r="G1186" s="674">
        <f t="shared" si="105"/>
        <v>0</v>
      </c>
      <c r="H1186" s="724">
        <f>+J1129*G1186+E1186</f>
        <v>0</v>
      </c>
      <c r="I1186" s="731">
        <f>+J1130*G1186+E1186</f>
        <v>0</v>
      </c>
      <c r="J1186" s="727">
        <f t="shared" si="106"/>
        <v>0</v>
      </c>
      <c r="K1186" s="727"/>
      <c r="L1186" s="732"/>
      <c r="M1186" s="727">
        <f t="shared" si="107"/>
        <v>0</v>
      </c>
      <c r="N1186" s="732"/>
      <c r="O1186" s="727">
        <f t="shared" si="108"/>
        <v>0</v>
      </c>
      <c r="P1186" s="727">
        <f t="shared" si="109"/>
        <v>0</v>
      </c>
      <c r="Q1186" s="675"/>
    </row>
    <row r="1187" spans="2:17">
      <c r="B1187" s="332"/>
      <c r="C1187" s="723">
        <f>IF(D1128="","-",+C1186+1)</f>
        <v>2071</v>
      </c>
      <c r="D1187" s="674">
        <f t="shared" si="110"/>
        <v>0</v>
      </c>
      <c r="E1187" s="730">
        <f t="shared" si="111"/>
        <v>0</v>
      </c>
      <c r="F1187" s="730">
        <f t="shared" si="104"/>
        <v>0</v>
      </c>
      <c r="G1187" s="674">
        <f t="shared" si="105"/>
        <v>0</v>
      </c>
      <c r="H1187" s="724">
        <f>+J1129*G1187+E1187</f>
        <v>0</v>
      </c>
      <c r="I1187" s="731">
        <f>+J1130*G1187+E1187</f>
        <v>0</v>
      </c>
      <c r="J1187" s="727">
        <f t="shared" si="106"/>
        <v>0</v>
      </c>
      <c r="K1187" s="727"/>
      <c r="L1187" s="732"/>
      <c r="M1187" s="727">
        <f t="shared" si="107"/>
        <v>0</v>
      </c>
      <c r="N1187" s="732"/>
      <c r="O1187" s="727">
        <f t="shared" si="108"/>
        <v>0</v>
      </c>
      <c r="P1187" s="727">
        <f t="shared" si="109"/>
        <v>0</v>
      </c>
      <c r="Q1187" s="675"/>
    </row>
    <row r="1188" spans="2:17">
      <c r="B1188" s="332"/>
      <c r="C1188" s="723">
        <f>IF(D1128="","-",+C1187+1)</f>
        <v>2072</v>
      </c>
      <c r="D1188" s="674">
        <f t="shared" si="110"/>
        <v>0</v>
      </c>
      <c r="E1188" s="730">
        <f t="shared" si="111"/>
        <v>0</v>
      </c>
      <c r="F1188" s="730">
        <f t="shared" si="104"/>
        <v>0</v>
      </c>
      <c r="G1188" s="674">
        <f t="shared" si="105"/>
        <v>0</v>
      </c>
      <c r="H1188" s="724">
        <f>+J1129*G1188+E1188</f>
        <v>0</v>
      </c>
      <c r="I1188" s="731">
        <f>+J1130*G1188+E1188</f>
        <v>0</v>
      </c>
      <c r="J1188" s="727">
        <f t="shared" si="106"/>
        <v>0</v>
      </c>
      <c r="K1188" s="727"/>
      <c r="L1188" s="732"/>
      <c r="M1188" s="727">
        <f t="shared" si="107"/>
        <v>0</v>
      </c>
      <c r="N1188" s="732"/>
      <c r="O1188" s="727">
        <f t="shared" si="108"/>
        <v>0</v>
      </c>
      <c r="P1188" s="727">
        <f t="shared" si="109"/>
        <v>0</v>
      </c>
      <c r="Q1188" s="675"/>
    </row>
    <row r="1189" spans="2:17">
      <c r="B1189" s="332"/>
      <c r="C1189" s="723">
        <f>IF(D1128="","-",+C1188+1)</f>
        <v>2073</v>
      </c>
      <c r="D1189" s="674">
        <f t="shared" si="110"/>
        <v>0</v>
      </c>
      <c r="E1189" s="730">
        <f t="shared" si="111"/>
        <v>0</v>
      </c>
      <c r="F1189" s="730">
        <f t="shared" si="104"/>
        <v>0</v>
      </c>
      <c r="G1189" s="674">
        <f t="shared" si="105"/>
        <v>0</v>
      </c>
      <c r="H1189" s="724">
        <f>+J1129*G1189+E1189</f>
        <v>0</v>
      </c>
      <c r="I1189" s="731">
        <f>+J1130*G1189+E1189</f>
        <v>0</v>
      </c>
      <c r="J1189" s="727">
        <f t="shared" si="106"/>
        <v>0</v>
      </c>
      <c r="K1189" s="727"/>
      <c r="L1189" s="732"/>
      <c r="M1189" s="727">
        <f t="shared" si="107"/>
        <v>0</v>
      </c>
      <c r="N1189" s="732"/>
      <c r="O1189" s="727">
        <f t="shared" si="108"/>
        <v>0</v>
      </c>
      <c r="P1189" s="727">
        <f t="shared" si="109"/>
        <v>0</v>
      </c>
      <c r="Q1189" s="675"/>
    </row>
    <row r="1190" spans="2:17">
      <c r="B1190" s="332"/>
      <c r="C1190" s="723">
        <f>IF(D1128="","-",+C1189+1)</f>
        <v>2074</v>
      </c>
      <c r="D1190" s="674">
        <f t="shared" si="110"/>
        <v>0</v>
      </c>
      <c r="E1190" s="730">
        <f t="shared" si="111"/>
        <v>0</v>
      </c>
      <c r="F1190" s="730">
        <f t="shared" si="104"/>
        <v>0</v>
      </c>
      <c r="G1190" s="674">
        <f t="shared" si="105"/>
        <v>0</v>
      </c>
      <c r="H1190" s="724">
        <f>+J1129*G1190+E1190</f>
        <v>0</v>
      </c>
      <c r="I1190" s="731">
        <f>+J1130*G1190+E1190</f>
        <v>0</v>
      </c>
      <c r="J1190" s="727">
        <f t="shared" si="106"/>
        <v>0</v>
      </c>
      <c r="K1190" s="727"/>
      <c r="L1190" s="732"/>
      <c r="M1190" s="727">
        <f t="shared" si="107"/>
        <v>0</v>
      </c>
      <c r="N1190" s="732"/>
      <c r="O1190" s="727">
        <f t="shared" si="108"/>
        <v>0</v>
      </c>
      <c r="P1190" s="727">
        <f t="shared" si="109"/>
        <v>0</v>
      </c>
      <c r="Q1190" s="675"/>
    </row>
    <row r="1191" spans="2:17">
      <c r="B1191" s="332"/>
      <c r="C1191" s="723">
        <f>IF(D1128="","-",+C1190+1)</f>
        <v>2075</v>
      </c>
      <c r="D1191" s="674">
        <f t="shared" si="110"/>
        <v>0</v>
      </c>
      <c r="E1191" s="730">
        <f t="shared" si="111"/>
        <v>0</v>
      </c>
      <c r="F1191" s="730">
        <f t="shared" si="104"/>
        <v>0</v>
      </c>
      <c r="G1191" s="674">
        <f t="shared" si="105"/>
        <v>0</v>
      </c>
      <c r="H1191" s="724">
        <f>+J1129*G1191+E1191</f>
        <v>0</v>
      </c>
      <c r="I1191" s="731">
        <f>+J1130*G1191+E1191</f>
        <v>0</v>
      </c>
      <c r="J1191" s="727">
        <f t="shared" si="106"/>
        <v>0</v>
      </c>
      <c r="K1191" s="727"/>
      <c r="L1191" s="732"/>
      <c r="M1191" s="727">
        <f t="shared" si="107"/>
        <v>0</v>
      </c>
      <c r="N1191" s="732"/>
      <c r="O1191" s="727">
        <f t="shared" si="108"/>
        <v>0</v>
      </c>
      <c r="P1191" s="727">
        <f t="shared" si="109"/>
        <v>0</v>
      </c>
      <c r="Q1191" s="675"/>
    </row>
    <row r="1192" spans="2:17">
      <c r="B1192" s="332"/>
      <c r="C1192" s="723">
        <f>IF(D1128="","-",+C1191+1)</f>
        <v>2076</v>
      </c>
      <c r="D1192" s="674">
        <f t="shared" si="110"/>
        <v>0</v>
      </c>
      <c r="E1192" s="730">
        <f t="shared" si="111"/>
        <v>0</v>
      </c>
      <c r="F1192" s="730">
        <f t="shared" si="104"/>
        <v>0</v>
      </c>
      <c r="G1192" s="674">
        <f t="shared" si="105"/>
        <v>0</v>
      </c>
      <c r="H1192" s="724">
        <f>+J1129*G1192+E1192</f>
        <v>0</v>
      </c>
      <c r="I1192" s="731">
        <f>+J1130*G1192+E1192</f>
        <v>0</v>
      </c>
      <c r="J1192" s="727">
        <f t="shared" si="106"/>
        <v>0</v>
      </c>
      <c r="K1192" s="727"/>
      <c r="L1192" s="732"/>
      <c r="M1192" s="727">
        <f t="shared" si="107"/>
        <v>0</v>
      </c>
      <c r="N1192" s="732"/>
      <c r="O1192" s="727">
        <f t="shared" si="108"/>
        <v>0</v>
      </c>
      <c r="P1192" s="727">
        <f t="shared" si="109"/>
        <v>0</v>
      </c>
      <c r="Q1192" s="675"/>
    </row>
    <row r="1193" spans="2:17" ht="13.5" thickBot="1">
      <c r="B1193" s="332"/>
      <c r="C1193" s="735">
        <f>IF(D1128="","-",+C1192+1)</f>
        <v>2077</v>
      </c>
      <c r="D1193" s="736">
        <f t="shared" si="110"/>
        <v>0</v>
      </c>
      <c r="E1193" s="737">
        <f t="shared" si="111"/>
        <v>0</v>
      </c>
      <c r="F1193" s="737">
        <f t="shared" si="104"/>
        <v>0</v>
      </c>
      <c r="G1193" s="736">
        <f t="shared" si="105"/>
        <v>0</v>
      </c>
      <c r="H1193" s="738">
        <f>+J1129*G1193+E1193</f>
        <v>0</v>
      </c>
      <c r="I1193" s="738">
        <f>+J1130*G1193+E1193</f>
        <v>0</v>
      </c>
      <c r="J1193" s="739">
        <f t="shared" si="106"/>
        <v>0</v>
      </c>
      <c r="K1193" s="727"/>
      <c r="L1193" s="740"/>
      <c r="M1193" s="739">
        <f t="shared" si="107"/>
        <v>0</v>
      </c>
      <c r="N1193" s="740"/>
      <c r="O1193" s="739">
        <f t="shared" si="108"/>
        <v>0</v>
      </c>
      <c r="P1193" s="739">
        <f t="shared" si="109"/>
        <v>0</v>
      </c>
      <c r="Q1193" s="675"/>
    </row>
    <row r="1194" spans="2:17">
      <c r="B1194" s="332"/>
      <c r="C1194" s="674" t="s">
        <v>288</v>
      </c>
      <c r="D1194" s="670"/>
      <c r="E1194" s="670">
        <f>SUM(E1134:E1193)</f>
        <v>68620614.390000015</v>
      </c>
      <c r="F1194" s="670"/>
      <c r="G1194" s="670"/>
      <c r="H1194" s="670">
        <f>SUM(H1134:H1193)</f>
        <v>233742079.37452</v>
      </c>
      <c r="I1194" s="670">
        <f>SUM(I1134:I1193)</f>
        <v>233742079.37452</v>
      </c>
      <c r="J1194" s="670">
        <f>SUM(J1134:J1193)</f>
        <v>0</v>
      </c>
      <c r="K1194" s="670"/>
      <c r="L1194" s="670"/>
      <c r="M1194" s="670"/>
      <c r="N1194" s="670"/>
      <c r="O1194" s="670"/>
      <c r="Q1194" s="670"/>
    </row>
    <row r="1195" spans="2:17">
      <c r="B1195" s="332"/>
      <c r="D1195" s="564"/>
      <c r="E1195" s="541"/>
      <c r="F1195" s="541"/>
      <c r="G1195" s="541"/>
      <c r="H1195" s="541"/>
      <c r="I1195" s="647"/>
      <c r="J1195" s="647"/>
      <c r="K1195" s="670"/>
      <c r="L1195" s="647"/>
      <c r="M1195" s="647"/>
      <c r="N1195" s="647"/>
      <c r="O1195" s="647"/>
      <c r="Q1195" s="670"/>
    </row>
    <row r="1196" spans="2:17">
      <c r="B1196" s="332"/>
      <c r="C1196" s="541" t="s">
        <v>601</v>
      </c>
      <c r="D1196" s="564"/>
      <c r="E1196" s="541"/>
      <c r="F1196" s="541"/>
      <c r="G1196" s="541"/>
      <c r="H1196" s="541"/>
      <c r="I1196" s="647"/>
      <c r="J1196" s="647"/>
      <c r="K1196" s="670"/>
      <c r="L1196" s="647"/>
      <c r="M1196" s="647"/>
      <c r="N1196" s="647"/>
      <c r="O1196" s="647"/>
      <c r="Q1196" s="670"/>
    </row>
    <row r="1197" spans="2:17">
      <c r="B1197" s="332"/>
      <c r="D1197" s="564"/>
      <c r="E1197" s="541"/>
      <c r="F1197" s="541"/>
      <c r="G1197" s="541"/>
      <c r="H1197" s="541"/>
      <c r="I1197" s="647"/>
      <c r="J1197" s="647"/>
      <c r="K1197" s="670"/>
      <c r="L1197" s="647"/>
      <c r="M1197" s="647"/>
      <c r="N1197" s="647"/>
      <c r="O1197" s="647"/>
      <c r="Q1197" s="670"/>
    </row>
    <row r="1198" spans="2:17">
      <c r="B1198" s="332"/>
      <c r="C1198" s="577" t="s">
        <v>602</v>
      </c>
      <c r="D1198" s="674"/>
      <c r="E1198" s="674"/>
      <c r="F1198" s="674"/>
      <c r="G1198" s="674"/>
      <c r="H1198" s="670"/>
      <c r="I1198" s="670"/>
      <c r="J1198" s="675"/>
      <c r="K1198" s="675"/>
      <c r="L1198" s="675"/>
      <c r="M1198" s="675"/>
      <c r="N1198" s="675"/>
      <c r="O1198" s="675"/>
      <c r="Q1198" s="675"/>
    </row>
    <row r="1199" spans="2:17">
      <c r="B1199" s="332"/>
      <c r="C1199" s="577" t="s">
        <v>476</v>
      </c>
      <c r="D1199" s="674"/>
      <c r="E1199" s="674"/>
      <c r="F1199" s="674"/>
      <c r="G1199" s="674"/>
      <c r="H1199" s="670"/>
      <c r="I1199" s="670"/>
      <c r="J1199" s="675"/>
      <c r="K1199" s="675"/>
      <c r="L1199" s="675"/>
      <c r="M1199" s="675"/>
      <c r="N1199" s="675"/>
      <c r="O1199" s="675"/>
      <c r="Q1199" s="675"/>
    </row>
    <row r="1200" spans="2:17">
      <c r="B1200" s="332"/>
      <c r="C1200" s="577" t="s">
        <v>289</v>
      </c>
      <c r="D1200" s="674"/>
      <c r="E1200" s="674"/>
      <c r="F1200" s="674"/>
      <c r="G1200" s="674"/>
      <c r="H1200" s="670"/>
      <c r="I1200" s="670"/>
      <c r="J1200" s="675"/>
      <c r="K1200" s="675"/>
      <c r="L1200" s="675"/>
      <c r="M1200" s="675"/>
      <c r="N1200" s="675"/>
      <c r="O1200" s="675"/>
      <c r="Q1200" s="675"/>
    </row>
    <row r="1201" spans="1:17">
      <c r="B1201" s="332"/>
      <c r="C1201" s="577"/>
      <c r="D1201" s="674"/>
      <c r="E1201" s="674"/>
      <c r="F1201" s="674"/>
      <c r="G1201" s="674"/>
      <c r="H1201" s="670"/>
      <c r="I1201" s="670"/>
      <c r="J1201" s="675"/>
      <c r="K1201" s="675"/>
      <c r="L1201" s="675"/>
      <c r="M1201" s="675"/>
      <c r="N1201" s="675"/>
      <c r="O1201" s="675"/>
      <c r="Q1201" s="675"/>
    </row>
    <row r="1202" spans="1:17" ht="20.25">
      <c r="A1202" s="676" t="s">
        <v>770</v>
      </c>
      <c r="B1202" s="541"/>
      <c r="C1202" s="656"/>
      <c r="D1202" s="564"/>
      <c r="E1202" s="541"/>
      <c r="F1202" s="646"/>
      <c r="G1202" s="646"/>
      <c r="H1202" s="541"/>
      <c r="I1202" s="647"/>
      <c r="L1202" s="677"/>
      <c r="M1202" s="677"/>
      <c r="N1202" s="677"/>
      <c r="O1202" s="592" t="str">
        <f>"Page "&amp;SUM(Q$3:Q1202)&amp;" of "</f>
        <v xml:space="preserve">Page 15 of </v>
      </c>
      <c r="P1202" s="593">
        <f>COUNT(Q$8:Q$58123)</f>
        <v>16</v>
      </c>
      <c r="Q1202" s="761">
        <v>1</v>
      </c>
    </row>
    <row r="1203" spans="1:17">
      <c r="B1203" s="541"/>
      <c r="C1203" s="541"/>
      <c r="D1203" s="564"/>
      <c r="E1203" s="541"/>
      <c r="F1203" s="541"/>
      <c r="G1203" s="541"/>
      <c r="H1203" s="541"/>
      <c r="I1203" s="647"/>
      <c r="J1203" s="541"/>
      <c r="K1203" s="589"/>
      <c r="Q1203" s="589"/>
    </row>
    <row r="1204" spans="1:17" ht="18">
      <c r="B1204" s="596" t="s">
        <v>174</v>
      </c>
      <c r="C1204" s="678" t="s">
        <v>290</v>
      </c>
      <c r="D1204" s="564"/>
      <c r="E1204" s="541"/>
      <c r="F1204" s="541"/>
      <c r="G1204" s="541"/>
      <c r="H1204" s="541"/>
      <c r="I1204" s="647"/>
      <c r="J1204" s="647"/>
      <c r="K1204" s="670"/>
      <c r="L1204" s="647"/>
      <c r="M1204" s="647"/>
      <c r="N1204" s="647"/>
      <c r="O1204" s="647"/>
      <c r="Q1204" s="670"/>
    </row>
    <row r="1205" spans="1:17" ht="18.75">
      <c r="B1205" s="596"/>
      <c r="C1205" s="595"/>
      <c r="D1205" s="564"/>
      <c r="E1205" s="541"/>
      <c r="F1205" s="541"/>
      <c r="G1205" s="541"/>
      <c r="H1205" s="541"/>
      <c r="I1205" s="647"/>
      <c r="J1205" s="647"/>
      <c r="K1205" s="670"/>
      <c r="L1205" s="647"/>
      <c r="M1205" s="647"/>
      <c r="N1205" s="647"/>
      <c r="O1205" s="647"/>
      <c r="Q1205" s="670"/>
    </row>
    <row r="1206" spans="1:17" ht="18.75">
      <c r="B1206" s="596"/>
      <c r="C1206" s="595" t="s">
        <v>291</v>
      </c>
      <c r="D1206" s="564"/>
      <c r="E1206" s="541"/>
      <c r="F1206" s="541"/>
      <c r="G1206" s="541"/>
      <c r="H1206" s="541"/>
      <c r="I1206" s="647"/>
      <c r="J1206" s="647"/>
      <c r="K1206" s="670"/>
      <c r="L1206" s="647"/>
      <c r="M1206" s="647"/>
      <c r="N1206" s="647"/>
      <c r="O1206" s="647"/>
      <c r="Q1206" s="670"/>
    </row>
    <row r="1207" spans="1:17" ht="15.75" thickBot="1">
      <c r="B1207" s="332"/>
      <c r="C1207" s="398"/>
      <c r="D1207" s="564"/>
      <c r="E1207" s="541"/>
      <c r="F1207" s="541"/>
      <c r="G1207" s="541"/>
      <c r="H1207" s="541"/>
      <c r="I1207" s="647"/>
      <c r="J1207" s="647"/>
      <c r="K1207" s="670"/>
      <c r="L1207" s="647"/>
      <c r="M1207" s="647"/>
      <c r="N1207" s="647"/>
      <c r="O1207" s="647"/>
      <c r="Q1207" s="670"/>
    </row>
    <row r="1208" spans="1:17" ht="15.75">
      <c r="B1208" s="332"/>
      <c r="C1208" s="597" t="s">
        <v>292</v>
      </c>
      <c r="D1208" s="564"/>
      <c r="E1208" s="541"/>
      <c r="F1208" s="541"/>
      <c r="G1208" s="541"/>
      <c r="H1208" s="870"/>
      <c r="I1208" s="541" t="s">
        <v>271</v>
      </c>
      <c r="J1208" s="541"/>
      <c r="K1208" s="589"/>
      <c r="L1208" s="762">
        <f>+J1214</f>
        <v>2020</v>
      </c>
      <c r="M1208" s="744" t="s">
        <v>254</v>
      </c>
      <c r="N1208" s="744" t="s">
        <v>255</v>
      </c>
      <c r="O1208" s="745" t="s">
        <v>256</v>
      </c>
      <c r="Q1208" s="589"/>
    </row>
    <row r="1209" spans="1:17" ht="15.75">
      <c r="B1209" s="332"/>
      <c r="C1209" s="597"/>
      <c r="D1209" s="564"/>
      <c r="E1209" s="541"/>
      <c r="F1209" s="541"/>
      <c r="H1209" s="541"/>
      <c r="I1209" s="682"/>
      <c r="J1209" s="682"/>
      <c r="K1209" s="683"/>
      <c r="L1209" s="763" t="s">
        <v>455</v>
      </c>
      <c r="M1209" s="764">
        <f>VLOOKUP(J1214,C1221:P1280,10)</f>
        <v>82029.058144338895</v>
      </c>
      <c r="N1209" s="764">
        <f>VLOOKUP(J1214,C1221:P1280,12)</f>
        <v>82029.058144338895</v>
      </c>
      <c r="O1209" s="765">
        <f>+N1209-M1209</f>
        <v>0</v>
      </c>
      <c r="Q1209" s="683"/>
    </row>
    <row r="1210" spans="1:17">
      <c r="B1210" s="332"/>
      <c r="C1210" s="685" t="s">
        <v>293</v>
      </c>
      <c r="D1210" s="1544" t="s">
        <v>1002</v>
      </c>
      <c r="E1210" s="1544"/>
      <c r="F1210" s="1544"/>
      <c r="G1210" s="1544"/>
      <c r="H1210" s="1544"/>
      <c r="I1210" s="647"/>
      <c r="J1210" s="647"/>
      <c r="K1210" s="670"/>
      <c r="L1210" s="763" t="s">
        <v>456</v>
      </c>
      <c r="M1210" s="766">
        <f>VLOOKUP(J1214,C1221:P1280,6)</f>
        <v>82733.529031875485</v>
      </c>
      <c r="N1210" s="766">
        <f>VLOOKUP(J1214,C1221:P1280,7)</f>
        <v>82733.529031875485</v>
      </c>
      <c r="O1210" s="767">
        <f>+N1210-M1210</f>
        <v>0</v>
      </c>
      <c r="Q1210" s="670"/>
    </row>
    <row r="1211" spans="1:17" ht="13.5" thickBot="1">
      <c r="B1211" s="332"/>
      <c r="C1211" s="687"/>
      <c r="D1211" s="688"/>
      <c r="E1211" s="672"/>
      <c r="F1211" s="672"/>
      <c r="G1211" s="672"/>
      <c r="H1211" s="689"/>
      <c r="I1211" s="647"/>
      <c r="J1211" s="647"/>
      <c r="K1211" s="670"/>
      <c r="L1211" s="708" t="s">
        <v>457</v>
      </c>
      <c r="M1211" s="768">
        <f>+M1210-M1209</f>
        <v>704.47088753659045</v>
      </c>
      <c r="N1211" s="768">
        <f>+N1210-N1209</f>
        <v>704.47088753659045</v>
      </c>
      <c r="O1211" s="769">
        <f>+O1210-O1209</f>
        <v>0</v>
      </c>
      <c r="Q1211" s="670"/>
    </row>
    <row r="1212" spans="1:17" ht="13.5" thickBot="1">
      <c r="B1212" s="332"/>
      <c r="C1212" s="690"/>
      <c r="D1212" s="691"/>
      <c r="E1212" s="689"/>
      <c r="F1212" s="689"/>
      <c r="G1212" s="689"/>
      <c r="H1212" s="689"/>
      <c r="I1212" s="689"/>
      <c r="J1212" s="689"/>
      <c r="K1212" s="692"/>
      <c r="L1212" s="689"/>
      <c r="M1212" s="689"/>
      <c r="N1212" s="689"/>
      <c r="O1212" s="689"/>
      <c r="P1212" s="577"/>
      <c r="Q1212" s="692"/>
    </row>
    <row r="1213" spans="1:17" ht="13.5" thickBot="1">
      <c r="B1213" s="332"/>
      <c r="C1213" s="694" t="s">
        <v>294</v>
      </c>
      <c r="D1213" s="695"/>
      <c r="E1213" s="695"/>
      <c r="F1213" s="695"/>
      <c r="G1213" s="695"/>
      <c r="H1213" s="695"/>
      <c r="I1213" s="695"/>
      <c r="J1213" s="695"/>
      <c r="K1213" s="697"/>
      <c r="P1213" s="698"/>
      <c r="Q1213" s="697"/>
    </row>
    <row r="1214" spans="1:17" ht="15">
      <c r="A1214" s="693"/>
      <c r="B1214" s="332"/>
      <c r="C1214" s="700" t="s">
        <v>272</v>
      </c>
      <c r="D1214" s="1256">
        <v>705824.57</v>
      </c>
      <c r="E1214" s="656" t="s">
        <v>273</v>
      </c>
      <c r="H1214" s="701"/>
      <c r="I1214" s="701"/>
      <c r="J1214" s="702">
        <f>$J$95</f>
        <v>2020</v>
      </c>
      <c r="K1214" s="587"/>
      <c r="L1214" s="1545" t="s">
        <v>274</v>
      </c>
      <c r="M1214" s="1545"/>
      <c r="N1214" s="1545"/>
      <c r="O1214" s="1545"/>
      <c r="P1214" s="589"/>
      <c r="Q1214" s="587"/>
    </row>
    <row r="1215" spans="1:17">
      <c r="A1215" s="693"/>
      <c r="B1215" s="332"/>
      <c r="C1215" s="700" t="s">
        <v>275</v>
      </c>
      <c r="D1215" s="872">
        <v>2017</v>
      </c>
      <c r="E1215" s="700" t="s">
        <v>276</v>
      </c>
      <c r="F1215" s="701"/>
      <c r="G1215" s="701"/>
      <c r="I1215" s="332"/>
      <c r="J1215" s="875">
        <v>0</v>
      </c>
      <c r="K1215" s="703"/>
      <c r="L1215" s="670" t="s">
        <v>475</v>
      </c>
      <c r="P1215" s="589"/>
      <c r="Q1215" s="703"/>
    </row>
    <row r="1216" spans="1:17">
      <c r="A1216" s="693"/>
      <c r="B1216" s="332"/>
      <c r="C1216" s="700" t="s">
        <v>277</v>
      </c>
      <c r="D1216" s="1257">
        <v>12</v>
      </c>
      <c r="E1216" s="700" t="s">
        <v>278</v>
      </c>
      <c r="F1216" s="701"/>
      <c r="G1216" s="701"/>
      <c r="I1216" s="332"/>
      <c r="J1216" s="704">
        <f>$F$70</f>
        <v>0.1009634410531228</v>
      </c>
      <c r="K1216" s="705"/>
      <c r="L1216" s="541" t="str">
        <f>"          INPUT TRUE-UP ARR (WITH &amp; WITHOUT INCENTIVES) FROM EACH PRIOR YEAR"</f>
        <v xml:space="preserve">          INPUT TRUE-UP ARR (WITH &amp; WITHOUT INCENTIVES) FROM EACH PRIOR YEAR</v>
      </c>
      <c r="P1216" s="589"/>
      <c r="Q1216" s="705"/>
    </row>
    <row r="1217" spans="1:17">
      <c r="A1217" s="693"/>
      <c r="B1217" s="332"/>
      <c r="C1217" s="700" t="s">
        <v>279</v>
      </c>
      <c r="D1217" s="706">
        <f>H79</f>
        <v>46</v>
      </c>
      <c r="E1217" s="700" t="s">
        <v>280</v>
      </c>
      <c r="F1217" s="701"/>
      <c r="G1217" s="701"/>
      <c r="I1217" s="332"/>
      <c r="J1217" s="704">
        <f>IF(H1208="",J1216,$F$69)</f>
        <v>0.1009634410531228</v>
      </c>
      <c r="K1217" s="707"/>
      <c r="L1217" s="541" t="s">
        <v>362</v>
      </c>
      <c r="M1217" s="707"/>
      <c r="N1217" s="707"/>
      <c r="O1217" s="707"/>
      <c r="P1217" s="589"/>
      <c r="Q1217" s="707"/>
    </row>
    <row r="1218" spans="1:17" ht="13.5" thickBot="1">
      <c r="A1218" s="693"/>
      <c r="B1218" s="332"/>
      <c r="C1218" s="700" t="s">
        <v>281</v>
      </c>
      <c r="D1218" s="874" t="s">
        <v>974</v>
      </c>
      <c r="E1218" s="708" t="s">
        <v>282</v>
      </c>
      <c r="F1218" s="709"/>
      <c r="G1218" s="709"/>
      <c r="H1218" s="710"/>
      <c r="I1218" s="710"/>
      <c r="J1218" s="686">
        <f>IF(D1214=0,0,D1214/D1217)</f>
        <v>15344.012391304346</v>
      </c>
      <c r="K1218" s="670"/>
      <c r="L1218" s="670" t="s">
        <v>363</v>
      </c>
      <c r="M1218" s="670"/>
      <c r="N1218" s="670"/>
      <c r="O1218" s="670"/>
      <c r="P1218" s="589"/>
      <c r="Q1218" s="670"/>
    </row>
    <row r="1219" spans="1:17" ht="38.25">
      <c r="A1219" s="528"/>
      <c r="B1219" s="528"/>
      <c r="C1219" s="711" t="s">
        <v>272</v>
      </c>
      <c r="D1219" s="712" t="s">
        <v>283</v>
      </c>
      <c r="E1219" s="713" t="s">
        <v>284</v>
      </c>
      <c r="F1219" s="712" t="s">
        <v>285</v>
      </c>
      <c r="G1219" s="712" t="s">
        <v>458</v>
      </c>
      <c r="H1219" s="713" t="s">
        <v>356</v>
      </c>
      <c r="I1219" s="714" t="s">
        <v>356</v>
      </c>
      <c r="J1219" s="711" t="s">
        <v>295</v>
      </c>
      <c r="K1219" s="715"/>
      <c r="L1219" s="713" t="s">
        <v>358</v>
      </c>
      <c r="M1219" s="713" t="s">
        <v>364</v>
      </c>
      <c r="N1219" s="713" t="s">
        <v>358</v>
      </c>
      <c r="O1219" s="713" t="s">
        <v>366</v>
      </c>
      <c r="P1219" s="713" t="s">
        <v>286</v>
      </c>
      <c r="Q1219" s="716"/>
    </row>
    <row r="1220" spans="1:17" ht="13.5" thickBot="1">
      <c r="B1220" s="332"/>
      <c r="C1220" s="717" t="s">
        <v>177</v>
      </c>
      <c r="D1220" s="718" t="s">
        <v>178</v>
      </c>
      <c r="E1220" s="717" t="s">
        <v>37</v>
      </c>
      <c r="F1220" s="718" t="s">
        <v>178</v>
      </c>
      <c r="G1220" s="718" t="s">
        <v>178</v>
      </c>
      <c r="H1220" s="719" t="s">
        <v>298</v>
      </c>
      <c r="I1220" s="720" t="s">
        <v>300</v>
      </c>
      <c r="J1220" s="721" t="s">
        <v>389</v>
      </c>
      <c r="K1220" s="722"/>
      <c r="L1220" s="719" t="s">
        <v>287</v>
      </c>
      <c r="M1220" s="719" t="s">
        <v>287</v>
      </c>
      <c r="N1220" s="719" t="s">
        <v>467</v>
      </c>
      <c r="O1220" s="719" t="s">
        <v>467</v>
      </c>
      <c r="P1220" s="719" t="s">
        <v>467</v>
      </c>
      <c r="Q1220" s="587"/>
    </row>
    <row r="1221" spans="1:17">
      <c r="B1221" s="332"/>
      <c r="C1221" s="723">
        <f>IF(D1215= "","-",D1215)</f>
        <v>2017</v>
      </c>
      <c r="D1221" s="1270">
        <f>+D1214</f>
        <v>705824.57</v>
      </c>
      <c r="E1221" s="724">
        <f>+J1218/12*(12-D1216)</f>
        <v>0</v>
      </c>
      <c r="F1221" s="770">
        <f t="shared" ref="F1221:F1280" si="112">+D1221-E1221</f>
        <v>705824.57</v>
      </c>
      <c r="G1221" s="674">
        <f t="shared" ref="G1221:G1280" si="113">+(D1221+F1221)/2</f>
        <v>705824.57</v>
      </c>
      <c r="H1221" s="725">
        <f>+J1216*G1221+E1221</f>
        <v>71262.477367040745</v>
      </c>
      <c r="I1221" s="726">
        <f>+J1217*G1221+E1221</f>
        <v>71262.477367040745</v>
      </c>
      <c r="J1221" s="727">
        <f t="shared" ref="J1221:J1280" si="114">+I1221-H1221</f>
        <v>0</v>
      </c>
      <c r="K1221" s="727"/>
      <c r="L1221" s="728">
        <v>0</v>
      </c>
      <c r="M1221" s="771">
        <f t="shared" ref="M1221:M1280" si="115">IF(L1221&lt;&gt;0,+H1221-L1221,0)</f>
        <v>0</v>
      </c>
      <c r="N1221" s="728">
        <v>0</v>
      </c>
      <c r="O1221" s="771">
        <f t="shared" ref="O1221:O1280" si="116">IF(N1221&lt;&gt;0,+I1221-N1221,0)</f>
        <v>0</v>
      </c>
      <c r="P1221" s="771">
        <f t="shared" ref="P1221:P1280" si="117">+O1221-M1221</f>
        <v>0</v>
      </c>
      <c r="Q1221" s="675"/>
    </row>
    <row r="1222" spans="1:17">
      <c r="B1222" s="332"/>
      <c r="C1222" s="723">
        <f>IF(D1215="","-",+C1221+1)</f>
        <v>2018</v>
      </c>
      <c r="D1222" s="1453">
        <f t="shared" ref="D1222:D1280" si="118">F1221</f>
        <v>705824.57</v>
      </c>
      <c r="E1222" s="730">
        <f>IF(D1222&gt;$J$1218,$J$1218,D1222)</f>
        <v>15344.012391304346</v>
      </c>
      <c r="F1222" s="730">
        <f t="shared" si="112"/>
        <v>690480.55760869558</v>
      </c>
      <c r="G1222" s="674">
        <f t="shared" si="113"/>
        <v>698152.56380434777</v>
      </c>
      <c r="H1222" s="724">
        <f>+J1216*G1222+E1222</f>
        <v>85831.897613051173</v>
      </c>
      <c r="I1222" s="731">
        <f>+J1217*G1222+E1222</f>
        <v>85831.897613051173</v>
      </c>
      <c r="J1222" s="727">
        <f t="shared" si="114"/>
        <v>0</v>
      </c>
      <c r="K1222" s="727"/>
      <c r="L1222" s="732">
        <v>0</v>
      </c>
      <c r="M1222" s="727">
        <f t="shared" si="115"/>
        <v>0</v>
      </c>
      <c r="N1222" s="732">
        <v>0</v>
      </c>
      <c r="O1222" s="727">
        <f t="shared" si="116"/>
        <v>0</v>
      </c>
      <c r="P1222" s="727">
        <f t="shared" si="117"/>
        <v>0</v>
      </c>
      <c r="Q1222" s="675"/>
    </row>
    <row r="1223" spans="1:17">
      <c r="B1223" s="332"/>
      <c r="C1223" s="723">
        <f>IF(D1215="","-",+C1222+1)</f>
        <v>2019</v>
      </c>
      <c r="D1223" s="1270">
        <f t="shared" si="118"/>
        <v>690480.55760869558</v>
      </c>
      <c r="E1223" s="730">
        <f t="shared" ref="E1223:E1280" si="119">IF(D1223&gt;$J$1218,$J$1218,D1223)</f>
        <v>15344.012391304346</v>
      </c>
      <c r="F1223" s="730">
        <f t="shared" si="112"/>
        <v>675136.54521739122</v>
      </c>
      <c r="G1223" s="674">
        <f t="shared" si="113"/>
        <v>682808.5514130434</v>
      </c>
      <c r="H1223" s="724">
        <f>+J1216*G1223+E1223</f>
        <v>84282.713322463329</v>
      </c>
      <c r="I1223" s="731">
        <f>+J1217*G1223+E1223</f>
        <v>84282.713322463329</v>
      </c>
      <c r="J1223" s="727">
        <f t="shared" si="114"/>
        <v>0</v>
      </c>
      <c r="K1223" s="727"/>
      <c r="L1223" s="732">
        <v>86230</v>
      </c>
      <c r="M1223" s="727">
        <f t="shared" si="115"/>
        <v>-1947.286677536671</v>
      </c>
      <c r="N1223" s="732">
        <v>86230</v>
      </c>
      <c r="O1223" s="727">
        <f t="shared" si="116"/>
        <v>-1947.286677536671</v>
      </c>
      <c r="P1223" s="727">
        <f t="shared" si="117"/>
        <v>0</v>
      </c>
      <c r="Q1223" s="675"/>
    </row>
    <row r="1224" spans="1:17">
      <c r="B1224" s="332"/>
      <c r="C1224" s="723">
        <f>IF(D1215="","-",+C1223+1)</f>
        <v>2020</v>
      </c>
      <c r="D1224" s="1270">
        <f t="shared" si="118"/>
        <v>675136.54521739122</v>
      </c>
      <c r="E1224" s="730">
        <f t="shared" si="119"/>
        <v>15344.012391304346</v>
      </c>
      <c r="F1224" s="730">
        <f t="shared" si="112"/>
        <v>659792.53282608686</v>
      </c>
      <c r="G1224" s="674">
        <f t="shared" si="113"/>
        <v>667464.53902173904</v>
      </c>
      <c r="H1224" s="724">
        <f>+J1216*G1224+E1224</f>
        <v>82733.529031875485</v>
      </c>
      <c r="I1224" s="731">
        <f>+J1217*G1224+E1224</f>
        <v>82733.529031875485</v>
      </c>
      <c r="J1224" s="727">
        <f t="shared" si="114"/>
        <v>0</v>
      </c>
      <c r="K1224" s="727"/>
      <c r="L1224" s="732">
        <v>82029.058144338895</v>
      </c>
      <c r="M1224" s="727">
        <f t="shared" si="115"/>
        <v>704.47088753659045</v>
      </c>
      <c r="N1224" s="732">
        <v>82029.058144338895</v>
      </c>
      <c r="O1224" s="727">
        <f t="shared" si="116"/>
        <v>704.47088753659045</v>
      </c>
      <c r="P1224" s="727">
        <f t="shared" si="117"/>
        <v>0</v>
      </c>
      <c r="Q1224" s="675"/>
    </row>
    <row r="1225" spans="1:17">
      <c r="B1225" s="332"/>
      <c r="C1225" s="723">
        <f>IF(D1215="","-",+C1224+1)</f>
        <v>2021</v>
      </c>
      <c r="D1225" s="1270">
        <f t="shared" si="118"/>
        <v>659792.53282608686</v>
      </c>
      <c r="E1225" s="730">
        <f t="shared" si="119"/>
        <v>15344.012391304346</v>
      </c>
      <c r="F1225" s="730">
        <f t="shared" si="112"/>
        <v>644448.52043478249</v>
      </c>
      <c r="G1225" s="674">
        <f t="shared" si="113"/>
        <v>652120.52663043467</v>
      </c>
      <c r="H1225" s="724">
        <f>+J1216*G1225+E1225</f>
        <v>81184.344741287641</v>
      </c>
      <c r="I1225" s="731">
        <f>+J1217*G1225+E1225</f>
        <v>81184.344741287641</v>
      </c>
      <c r="J1225" s="727">
        <f t="shared" si="114"/>
        <v>0</v>
      </c>
      <c r="K1225" s="727"/>
      <c r="L1225" s="732">
        <v>0</v>
      </c>
      <c r="M1225" s="727">
        <f t="shared" si="115"/>
        <v>0</v>
      </c>
      <c r="N1225" s="732">
        <v>0</v>
      </c>
      <c r="O1225" s="727">
        <f t="shared" si="116"/>
        <v>0</v>
      </c>
      <c r="P1225" s="727">
        <f t="shared" si="117"/>
        <v>0</v>
      </c>
      <c r="Q1225" s="675"/>
    </row>
    <row r="1226" spans="1:17">
      <c r="B1226" s="332"/>
      <c r="C1226" s="723">
        <f>IF(D1215="","-",+C1225+1)</f>
        <v>2022</v>
      </c>
      <c r="D1226" s="674">
        <f t="shared" si="118"/>
        <v>644448.52043478249</v>
      </c>
      <c r="E1226" s="730">
        <f t="shared" si="119"/>
        <v>15344.012391304346</v>
      </c>
      <c r="F1226" s="730">
        <f t="shared" si="112"/>
        <v>629104.50804347813</v>
      </c>
      <c r="G1226" s="674">
        <f t="shared" si="113"/>
        <v>636776.51423913031</v>
      </c>
      <c r="H1226" s="724">
        <f>+J1216*G1226+E1226</f>
        <v>79635.160450699783</v>
      </c>
      <c r="I1226" s="731">
        <f>+J1217*G1226+E1226</f>
        <v>79635.160450699783</v>
      </c>
      <c r="J1226" s="727">
        <f t="shared" si="114"/>
        <v>0</v>
      </c>
      <c r="K1226" s="727"/>
      <c r="L1226" s="732">
        <v>0</v>
      </c>
      <c r="M1226" s="727">
        <f t="shared" si="115"/>
        <v>0</v>
      </c>
      <c r="N1226" s="732">
        <v>0</v>
      </c>
      <c r="O1226" s="727">
        <f t="shared" si="116"/>
        <v>0</v>
      </c>
      <c r="P1226" s="727">
        <f t="shared" si="117"/>
        <v>0</v>
      </c>
      <c r="Q1226" s="675"/>
    </row>
    <row r="1227" spans="1:17">
      <c r="B1227" s="332"/>
      <c r="C1227" s="723">
        <f>IF(D1215="","-",+C1226+1)</f>
        <v>2023</v>
      </c>
      <c r="D1227" s="674">
        <f t="shared" si="118"/>
        <v>629104.50804347813</v>
      </c>
      <c r="E1227" s="730">
        <f t="shared" si="119"/>
        <v>15344.012391304346</v>
      </c>
      <c r="F1227" s="730">
        <f t="shared" si="112"/>
        <v>613760.49565217376</v>
      </c>
      <c r="G1227" s="674">
        <f t="shared" si="113"/>
        <v>621432.50184782594</v>
      </c>
      <c r="H1227" s="724">
        <f>+J1216*G1227+E1227</f>
        <v>78085.976160111939</v>
      </c>
      <c r="I1227" s="731">
        <f>+J1217*G1227+E1227</f>
        <v>78085.976160111939</v>
      </c>
      <c r="J1227" s="727">
        <f t="shared" si="114"/>
        <v>0</v>
      </c>
      <c r="K1227" s="727"/>
      <c r="L1227" s="732">
        <v>0</v>
      </c>
      <c r="M1227" s="727">
        <f t="shared" si="115"/>
        <v>0</v>
      </c>
      <c r="N1227" s="732">
        <v>0</v>
      </c>
      <c r="O1227" s="727">
        <f t="shared" si="116"/>
        <v>0</v>
      </c>
      <c r="P1227" s="727">
        <f t="shared" si="117"/>
        <v>0</v>
      </c>
      <c r="Q1227" s="675"/>
    </row>
    <row r="1228" spans="1:17">
      <c r="B1228" s="332"/>
      <c r="C1228" s="723">
        <f>IF(D1215="","-",+C1227+1)</f>
        <v>2024</v>
      </c>
      <c r="D1228" s="674">
        <f t="shared" si="118"/>
        <v>613760.49565217376</v>
      </c>
      <c r="E1228" s="730">
        <f t="shared" si="119"/>
        <v>15344.012391304346</v>
      </c>
      <c r="F1228" s="730">
        <f t="shared" si="112"/>
        <v>598416.4832608694</v>
      </c>
      <c r="G1228" s="674">
        <f t="shared" si="113"/>
        <v>606088.48945652158</v>
      </c>
      <c r="H1228" s="724">
        <f>+J1216*G1228+E1228</f>
        <v>76536.791869524095</v>
      </c>
      <c r="I1228" s="731">
        <f>+J1217*G1228+E1228</f>
        <v>76536.791869524095</v>
      </c>
      <c r="J1228" s="727">
        <f t="shared" si="114"/>
        <v>0</v>
      </c>
      <c r="K1228" s="727"/>
      <c r="L1228" s="732">
        <v>0</v>
      </c>
      <c r="M1228" s="727">
        <f t="shared" si="115"/>
        <v>0</v>
      </c>
      <c r="N1228" s="732">
        <v>0</v>
      </c>
      <c r="O1228" s="727">
        <f t="shared" si="116"/>
        <v>0</v>
      </c>
      <c r="P1228" s="727">
        <f t="shared" si="117"/>
        <v>0</v>
      </c>
      <c r="Q1228" s="675"/>
    </row>
    <row r="1229" spans="1:17">
      <c r="B1229" s="332"/>
      <c r="C1229" s="723">
        <f>IF(D1215="","-",+C1228+1)</f>
        <v>2025</v>
      </c>
      <c r="D1229" s="674">
        <f t="shared" si="118"/>
        <v>598416.4832608694</v>
      </c>
      <c r="E1229" s="730">
        <f t="shared" si="119"/>
        <v>15344.012391304346</v>
      </c>
      <c r="F1229" s="730">
        <f t="shared" si="112"/>
        <v>583072.47086956503</v>
      </c>
      <c r="G1229" s="674">
        <f t="shared" si="113"/>
        <v>590744.47706521722</v>
      </c>
      <c r="H1229" s="724">
        <f>+J1216*G1229+E1229</f>
        <v>74987.607578936251</v>
      </c>
      <c r="I1229" s="731">
        <f>+J1217*G1229+E1229</f>
        <v>74987.607578936251</v>
      </c>
      <c r="J1229" s="727">
        <f t="shared" si="114"/>
        <v>0</v>
      </c>
      <c r="K1229" s="727"/>
      <c r="L1229" s="732">
        <v>0</v>
      </c>
      <c r="M1229" s="727">
        <f t="shared" si="115"/>
        <v>0</v>
      </c>
      <c r="N1229" s="732">
        <v>0</v>
      </c>
      <c r="O1229" s="727">
        <f t="shared" si="116"/>
        <v>0</v>
      </c>
      <c r="P1229" s="727">
        <f t="shared" si="117"/>
        <v>0</v>
      </c>
      <c r="Q1229" s="675"/>
    </row>
    <row r="1230" spans="1:17">
      <c r="B1230" s="332"/>
      <c r="C1230" s="723">
        <f>IF(D1215="","-",+C1229+1)</f>
        <v>2026</v>
      </c>
      <c r="D1230" s="674">
        <f t="shared" si="118"/>
        <v>583072.47086956503</v>
      </c>
      <c r="E1230" s="730">
        <f t="shared" si="119"/>
        <v>15344.012391304346</v>
      </c>
      <c r="F1230" s="730">
        <f t="shared" si="112"/>
        <v>567728.45847826067</v>
      </c>
      <c r="G1230" s="674">
        <f t="shared" si="113"/>
        <v>575400.46467391285</v>
      </c>
      <c r="H1230" s="724">
        <f>+J1216*G1230+E1230</f>
        <v>73438.423288348407</v>
      </c>
      <c r="I1230" s="731">
        <f>+J1217*G1230+E1230</f>
        <v>73438.423288348407</v>
      </c>
      <c r="J1230" s="727">
        <f t="shared" si="114"/>
        <v>0</v>
      </c>
      <c r="K1230" s="727"/>
      <c r="L1230" s="732">
        <v>0</v>
      </c>
      <c r="M1230" s="727">
        <f t="shared" si="115"/>
        <v>0</v>
      </c>
      <c r="N1230" s="732">
        <v>0</v>
      </c>
      <c r="O1230" s="727">
        <f t="shared" si="116"/>
        <v>0</v>
      </c>
      <c r="P1230" s="727">
        <f t="shared" si="117"/>
        <v>0</v>
      </c>
      <c r="Q1230" s="675"/>
    </row>
    <row r="1231" spans="1:17">
      <c r="B1231" s="332"/>
      <c r="C1231" s="723">
        <f>IF(D1215="","-",+C1230+1)</f>
        <v>2027</v>
      </c>
      <c r="D1231" s="674">
        <f t="shared" si="118"/>
        <v>567728.45847826067</v>
      </c>
      <c r="E1231" s="730">
        <f t="shared" si="119"/>
        <v>15344.012391304346</v>
      </c>
      <c r="F1231" s="730">
        <f t="shared" si="112"/>
        <v>552384.4460869563</v>
      </c>
      <c r="G1231" s="674">
        <f t="shared" si="113"/>
        <v>560056.45228260849</v>
      </c>
      <c r="H1231" s="724">
        <f>+J1216*G1231+E1231</f>
        <v>71889.238997760564</v>
      </c>
      <c r="I1231" s="731">
        <f>+J1217*G1231+E1231</f>
        <v>71889.238997760564</v>
      </c>
      <c r="J1231" s="727">
        <f t="shared" si="114"/>
        <v>0</v>
      </c>
      <c r="K1231" s="727"/>
      <c r="L1231" s="732">
        <v>0</v>
      </c>
      <c r="M1231" s="727">
        <f t="shared" si="115"/>
        <v>0</v>
      </c>
      <c r="N1231" s="732">
        <v>0</v>
      </c>
      <c r="O1231" s="727">
        <f t="shared" si="116"/>
        <v>0</v>
      </c>
      <c r="P1231" s="727">
        <f t="shared" si="117"/>
        <v>0</v>
      </c>
      <c r="Q1231" s="675"/>
    </row>
    <row r="1232" spans="1:17">
      <c r="B1232" s="332"/>
      <c r="C1232" s="723">
        <f>IF(D1215="","-",+C1231+1)</f>
        <v>2028</v>
      </c>
      <c r="D1232" s="674">
        <f t="shared" si="118"/>
        <v>552384.4460869563</v>
      </c>
      <c r="E1232" s="730">
        <f t="shared" si="119"/>
        <v>15344.012391304346</v>
      </c>
      <c r="F1232" s="730">
        <f t="shared" si="112"/>
        <v>537040.43369565194</v>
      </c>
      <c r="G1232" s="674">
        <f t="shared" si="113"/>
        <v>544712.43989130412</v>
      </c>
      <c r="H1232" s="724">
        <f>+J1216*G1232+E1232</f>
        <v>70340.05470717272</v>
      </c>
      <c r="I1232" s="731">
        <f>+J1217*G1232+E1232</f>
        <v>70340.05470717272</v>
      </c>
      <c r="J1232" s="727">
        <f t="shared" si="114"/>
        <v>0</v>
      </c>
      <c r="K1232" s="727"/>
      <c r="L1232" s="732"/>
      <c r="M1232" s="727">
        <f t="shared" si="115"/>
        <v>0</v>
      </c>
      <c r="N1232" s="732"/>
      <c r="O1232" s="727">
        <f t="shared" si="116"/>
        <v>0</v>
      </c>
      <c r="P1232" s="727">
        <f t="shared" si="117"/>
        <v>0</v>
      </c>
      <c r="Q1232" s="675"/>
    </row>
    <row r="1233" spans="2:17">
      <c r="B1233" s="332"/>
      <c r="C1233" s="723">
        <f>IF(D1215="","-",+C1232+1)</f>
        <v>2029</v>
      </c>
      <c r="D1233" s="674">
        <f t="shared" si="118"/>
        <v>537040.43369565194</v>
      </c>
      <c r="E1233" s="730">
        <f t="shared" si="119"/>
        <v>15344.012391304346</v>
      </c>
      <c r="F1233" s="730">
        <f t="shared" si="112"/>
        <v>521696.42130434758</v>
      </c>
      <c r="G1233" s="674">
        <f t="shared" si="113"/>
        <v>529368.42749999976</v>
      </c>
      <c r="H1233" s="724">
        <f>+J1216*G1233+E1233</f>
        <v>68790.870416584876</v>
      </c>
      <c r="I1233" s="731">
        <f>+J1217*G1233+E1233</f>
        <v>68790.870416584876</v>
      </c>
      <c r="J1233" s="727">
        <f t="shared" si="114"/>
        <v>0</v>
      </c>
      <c r="K1233" s="727"/>
      <c r="L1233" s="732"/>
      <c r="M1233" s="727">
        <f t="shared" si="115"/>
        <v>0</v>
      </c>
      <c r="N1233" s="732"/>
      <c r="O1233" s="727">
        <f t="shared" si="116"/>
        <v>0</v>
      </c>
      <c r="P1233" s="727">
        <f t="shared" si="117"/>
        <v>0</v>
      </c>
      <c r="Q1233" s="675"/>
    </row>
    <row r="1234" spans="2:17">
      <c r="B1234" s="332"/>
      <c r="C1234" s="723">
        <f>IF(D1215="","-",+C1233+1)</f>
        <v>2030</v>
      </c>
      <c r="D1234" s="674">
        <f t="shared" si="118"/>
        <v>521696.42130434758</v>
      </c>
      <c r="E1234" s="730">
        <f t="shared" si="119"/>
        <v>15344.012391304346</v>
      </c>
      <c r="F1234" s="730">
        <f t="shared" si="112"/>
        <v>506352.40891304321</v>
      </c>
      <c r="G1234" s="674">
        <f t="shared" si="113"/>
        <v>514024.41510869539</v>
      </c>
      <c r="H1234" s="724">
        <f>+J1216*G1234+E1234</f>
        <v>67241.686125997032</v>
      </c>
      <c r="I1234" s="731">
        <f>+J1217*G1234+E1234</f>
        <v>67241.686125997032</v>
      </c>
      <c r="J1234" s="727">
        <f t="shared" si="114"/>
        <v>0</v>
      </c>
      <c r="K1234" s="727"/>
      <c r="L1234" s="732"/>
      <c r="M1234" s="727">
        <f t="shared" si="115"/>
        <v>0</v>
      </c>
      <c r="N1234" s="732"/>
      <c r="O1234" s="727">
        <f t="shared" si="116"/>
        <v>0</v>
      </c>
      <c r="P1234" s="727">
        <f t="shared" si="117"/>
        <v>0</v>
      </c>
      <c r="Q1234" s="675"/>
    </row>
    <row r="1235" spans="2:17">
      <c r="B1235" s="332"/>
      <c r="C1235" s="723">
        <f>IF(D1215="","-",+C1234+1)</f>
        <v>2031</v>
      </c>
      <c r="D1235" s="674">
        <f t="shared" si="118"/>
        <v>506352.40891304321</v>
      </c>
      <c r="E1235" s="730">
        <f t="shared" si="119"/>
        <v>15344.012391304346</v>
      </c>
      <c r="F1235" s="730">
        <f t="shared" si="112"/>
        <v>491008.39652173885</v>
      </c>
      <c r="G1235" s="674">
        <f t="shared" si="113"/>
        <v>498680.40271739103</v>
      </c>
      <c r="H1235" s="724">
        <f>+J1216*G1235+E1235</f>
        <v>65692.501835409188</v>
      </c>
      <c r="I1235" s="731">
        <f>+J1217*G1235+E1235</f>
        <v>65692.501835409188</v>
      </c>
      <c r="J1235" s="727">
        <f t="shared" si="114"/>
        <v>0</v>
      </c>
      <c r="K1235" s="727"/>
      <c r="L1235" s="732"/>
      <c r="M1235" s="727">
        <f t="shared" si="115"/>
        <v>0</v>
      </c>
      <c r="N1235" s="732"/>
      <c r="O1235" s="727">
        <f t="shared" si="116"/>
        <v>0</v>
      </c>
      <c r="P1235" s="727">
        <f t="shared" si="117"/>
        <v>0</v>
      </c>
      <c r="Q1235" s="675"/>
    </row>
    <row r="1236" spans="2:17">
      <c r="B1236" s="332"/>
      <c r="C1236" s="723">
        <f>IF(D1215="","-",+C1235+1)</f>
        <v>2032</v>
      </c>
      <c r="D1236" s="674">
        <f t="shared" si="118"/>
        <v>491008.39652173885</v>
      </c>
      <c r="E1236" s="730">
        <f t="shared" si="119"/>
        <v>15344.012391304346</v>
      </c>
      <c r="F1236" s="730">
        <f t="shared" si="112"/>
        <v>475664.38413043448</v>
      </c>
      <c r="G1236" s="674">
        <f t="shared" si="113"/>
        <v>483336.39032608666</v>
      </c>
      <c r="H1236" s="724">
        <f>+J1216*G1236+E1236</f>
        <v>64143.317544821344</v>
      </c>
      <c r="I1236" s="731">
        <f>+J1217*G1236+E1236</f>
        <v>64143.317544821344</v>
      </c>
      <c r="J1236" s="727">
        <f t="shared" si="114"/>
        <v>0</v>
      </c>
      <c r="K1236" s="727"/>
      <c r="L1236" s="732"/>
      <c r="M1236" s="727">
        <f t="shared" si="115"/>
        <v>0</v>
      </c>
      <c r="N1236" s="732"/>
      <c r="O1236" s="727">
        <f t="shared" si="116"/>
        <v>0</v>
      </c>
      <c r="P1236" s="727">
        <f t="shared" si="117"/>
        <v>0</v>
      </c>
      <c r="Q1236" s="675"/>
    </row>
    <row r="1237" spans="2:17">
      <c r="B1237" s="332"/>
      <c r="C1237" s="723">
        <f>IF(D1215="","-",+C1236+1)</f>
        <v>2033</v>
      </c>
      <c r="D1237" s="674">
        <f t="shared" si="118"/>
        <v>475664.38413043448</v>
      </c>
      <c r="E1237" s="730">
        <f t="shared" si="119"/>
        <v>15344.012391304346</v>
      </c>
      <c r="F1237" s="730">
        <f t="shared" si="112"/>
        <v>460320.37173913012</v>
      </c>
      <c r="G1237" s="674">
        <f t="shared" si="113"/>
        <v>467992.3779347823</v>
      </c>
      <c r="H1237" s="724">
        <f>+J1216*G1237+E1237</f>
        <v>62594.1332542335</v>
      </c>
      <c r="I1237" s="731">
        <f>+J1217*G1237+E1237</f>
        <v>62594.1332542335</v>
      </c>
      <c r="J1237" s="727">
        <f t="shared" si="114"/>
        <v>0</v>
      </c>
      <c r="K1237" s="727"/>
      <c r="L1237" s="732"/>
      <c r="M1237" s="727">
        <f t="shared" si="115"/>
        <v>0</v>
      </c>
      <c r="N1237" s="732"/>
      <c r="O1237" s="727">
        <f t="shared" si="116"/>
        <v>0</v>
      </c>
      <c r="P1237" s="727">
        <f t="shared" si="117"/>
        <v>0</v>
      </c>
      <c r="Q1237" s="675"/>
    </row>
    <row r="1238" spans="2:17">
      <c r="B1238" s="332"/>
      <c r="C1238" s="723">
        <f>IF(D1215="","-",+C1237+1)</f>
        <v>2034</v>
      </c>
      <c r="D1238" s="674">
        <f t="shared" si="118"/>
        <v>460320.37173913012</v>
      </c>
      <c r="E1238" s="730">
        <f t="shared" si="119"/>
        <v>15344.012391304346</v>
      </c>
      <c r="F1238" s="730">
        <f t="shared" si="112"/>
        <v>444976.35934782575</v>
      </c>
      <c r="G1238" s="674">
        <f t="shared" si="113"/>
        <v>452648.36554347794</v>
      </c>
      <c r="H1238" s="724">
        <f>+J1216*G1238+E1238</f>
        <v>61044.948963645656</v>
      </c>
      <c r="I1238" s="731">
        <f>+J1217*G1238+E1238</f>
        <v>61044.948963645656</v>
      </c>
      <c r="J1238" s="727">
        <f t="shared" si="114"/>
        <v>0</v>
      </c>
      <c r="K1238" s="727"/>
      <c r="L1238" s="732"/>
      <c r="M1238" s="727">
        <f t="shared" si="115"/>
        <v>0</v>
      </c>
      <c r="N1238" s="732"/>
      <c r="O1238" s="727">
        <f t="shared" si="116"/>
        <v>0</v>
      </c>
      <c r="P1238" s="727">
        <f t="shared" si="117"/>
        <v>0</v>
      </c>
      <c r="Q1238" s="675"/>
    </row>
    <row r="1239" spans="2:17">
      <c r="B1239" s="332"/>
      <c r="C1239" s="723">
        <f>IF(D1215="","-",+C1238+1)</f>
        <v>2035</v>
      </c>
      <c r="D1239" s="674">
        <f t="shared" si="118"/>
        <v>444976.35934782575</v>
      </c>
      <c r="E1239" s="730">
        <f t="shared" si="119"/>
        <v>15344.012391304346</v>
      </c>
      <c r="F1239" s="730">
        <f t="shared" si="112"/>
        <v>429632.34695652139</v>
      </c>
      <c r="G1239" s="674">
        <f t="shared" si="113"/>
        <v>437304.35315217357</v>
      </c>
      <c r="H1239" s="724">
        <f>+J1216*G1239+E1239</f>
        <v>59495.764673057813</v>
      </c>
      <c r="I1239" s="731">
        <f>+J1217*G1239+E1239</f>
        <v>59495.764673057813</v>
      </c>
      <c r="J1239" s="727">
        <f t="shared" si="114"/>
        <v>0</v>
      </c>
      <c r="K1239" s="727"/>
      <c r="L1239" s="732"/>
      <c r="M1239" s="727">
        <f t="shared" si="115"/>
        <v>0</v>
      </c>
      <c r="N1239" s="732"/>
      <c r="O1239" s="727">
        <f t="shared" si="116"/>
        <v>0</v>
      </c>
      <c r="P1239" s="727">
        <f t="shared" si="117"/>
        <v>0</v>
      </c>
      <c r="Q1239" s="675"/>
    </row>
    <row r="1240" spans="2:17">
      <c r="B1240" s="332"/>
      <c r="C1240" s="723">
        <f>IF(D1215="","-",+C1239+1)</f>
        <v>2036</v>
      </c>
      <c r="D1240" s="674">
        <f t="shared" si="118"/>
        <v>429632.34695652139</v>
      </c>
      <c r="E1240" s="730">
        <f t="shared" si="119"/>
        <v>15344.012391304346</v>
      </c>
      <c r="F1240" s="730">
        <f t="shared" si="112"/>
        <v>414288.33456521702</v>
      </c>
      <c r="G1240" s="674">
        <f t="shared" si="113"/>
        <v>421960.34076086921</v>
      </c>
      <c r="H1240" s="724">
        <f>+J1216*G1240+E1240</f>
        <v>57946.580382469969</v>
      </c>
      <c r="I1240" s="731">
        <f>+J1217*G1240+E1240</f>
        <v>57946.580382469969</v>
      </c>
      <c r="J1240" s="727">
        <f t="shared" si="114"/>
        <v>0</v>
      </c>
      <c r="K1240" s="727"/>
      <c r="L1240" s="732"/>
      <c r="M1240" s="727">
        <f t="shared" si="115"/>
        <v>0</v>
      </c>
      <c r="N1240" s="732"/>
      <c r="O1240" s="727">
        <f t="shared" si="116"/>
        <v>0</v>
      </c>
      <c r="P1240" s="727">
        <f t="shared" si="117"/>
        <v>0</v>
      </c>
      <c r="Q1240" s="675"/>
    </row>
    <row r="1241" spans="2:17">
      <c r="B1241" s="332"/>
      <c r="C1241" s="723">
        <f>IF(D1215="","-",+C1240+1)</f>
        <v>2037</v>
      </c>
      <c r="D1241" s="674">
        <f t="shared" si="118"/>
        <v>414288.33456521702</v>
      </c>
      <c r="E1241" s="730">
        <f t="shared" si="119"/>
        <v>15344.012391304346</v>
      </c>
      <c r="F1241" s="730">
        <f t="shared" si="112"/>
        <v>398944.32217391266</v>
      </c>
      <c r="G1241" s="674">
        <f t="shared" si="113"/>
        <v>406616.32836956484</v>
      </c>
      <c r="H1241" s="724">
        <f>+J1216*G1241+E1241</f>
        <v>56397.396091882125</v>
      </c>
      <c r="I1241" s="731">
        <f>+J1217*G1241+E1241</f>
        <v>56397.396091882125</v>
      </c>
      <c r="J1241" s="727">
        <f t="shared" si="114"/>
        <v>0</v>
      </c>
      <c r="K1241" s="727"/>
      <c r="L1241" s="732"/>
      <c r="M1241" s="727">
        <f t="shared" si="115"/>
        <v>0</v>
      </c>
      <c r="N1241" s="732"/>
      <c r="O1241" s="727">
        <f t="shared" si="116"/>
        <v>0</v>
      </c>
      <c r="P1241" s="727">
        <f t="shared" si="117"/>
        <v>0</v>
      </c>
      <c r="Q1241" s="675"/>
    </row>
    <row r="1242" spans="2:17">
      <c r="B1242" s="332"/>
      <c r="C1242" s="723">
        <f>IF(D1215="","-",+C1241+1)</f>
        <v>2038</v>
      </c>
      <c r="D1242" s="674">
        <f t="shared" si="118"/>
        <v>398944.32217391266</v>
      </c>
      <c r="E1242" s="730">
        <f t="shared" si="119"/>
        <v>15344.012391304346</v>
      </c>
      <c r="F1242" s="730">
        <f t="shared" si="112"/>
        <v>383600.3097826083</v>
      </c>
      <c r="G1242" s="674">
        <f t="shared" si="113"/>
        <v>391272.31597826048</v>
      </c>
      <c r="H1242" s="724">
        <f>+J1216*G1242+E1242</f>
        <v>54848.211801294281</v>
      </c>
      <c r="I1242" s="731">
        <f>+J1217*G1242+E1242</f>
        <v>54848.211801294281</v>
      </c>
      <c r="J1242" s="727">
        <f t="shared" si="114"/>
        <v>0</v>
      </c>
      <c r="K1242" s="727"/>
      <c r="L1242" s="732"/>
      <c r="M1242" s="727">
        <f t="shared" si="115"/>
        <v>0</v>
      </c>
      <c r="N1242" s="732"/>
      <c r="O1242" s="727">
        <f t="shared" si="116"/>
        <v>0</v>
      </c>
      <c r="P1242" s="727">
        <f t="shared" si="117"/>
        <v>0</v>
      </c>
      <c r="Q1242" s="675"/>
    </row>
    <row r="1243" spans="2:17">
      <c r="B1243" s="332"/>
      <c r="C1243" s="723">
        <f>IF(D1215="","-",+C1242+1)</f>
        <v>2039</v>
      </c>
      <c r="D1243" s="674">
        <f t="shared" si="118"/>
        <v>383600.3097826083</v>
      </c>
      <c r="E1243" s="730">
        <f t="shared" si="119"/>
        <v>15344.012391304346</v>
      </c>
      <c r="F1243" s="730">
        <f t="shared" si="112"/>
        <v>368256.29739130393</v>
      </c>
      <c r="G1243" s="674">
        <f t="shared" si="113"/>
        <v>375928.30358695611</v>
      </c>
      <c r="H1243" s="724">
        <f>+J1216*G1243+E1243</f>
        <v>53299.027510706437</v>
      </c>
      <c r="I1243" s="731">
        <f>+J1217*G1243+E1243</f>
        <v>53299.027510706437</v>
      </c>
      <c r="J1243" s="727">
        <f t="shared" si="114"/>
        <v>0</v>
      </c>
      <c r="K1243" s="727"/>
      <c r="L1243" s="732"/>
      <c r="M1243" s="727">
        <f t="shared" si="115"/>
        <v>0</v>
      </c>
      <c r="N1243" s="732"/>
      <c r="O1243" s="727">
        <f t="shared" si="116"/>
        <v>0</v>
      </c>
      <c r="P1243" s="727">
        <f t="shared" si="117"/>
        <v>0</v>
      </c>
      <c r="Q1243" s="675"/>
    </row>
    <row r="1244" spans="2:17">
      <c r="B1244" s="332"/>
      <c r="C1244" s="723">
        <f>IF(D1215="","-",+C1243+1)</f>
        <v>2040</v>
      </c>
      <c r="D1244" s="674">
        <f t="shared" si="118"/>
        <v>368256.29739130393</v>
      </c>
      <c r="E1244" s="730">
        <f t="shared" si="119"/>
        <v>15344.012391304346</v>
      </c>
      <c r="F1244" s="730">
        <f t="shared" si="112"/>
        <v>352912.28499999957</v>
      </c>
      <c r="G1244" s="674">
        <f t="shared" si="113"/>
        <v>360584.29119565175</v>
      </c>
      <c r="H1244" s="724">
        <f>+J1216*G1244+E1244</f>
        <v>51749.843220118593</v>
      </c>
      <c r="I1244" s="731">
        <f>+J1217*G1244+E1244</f>
        <v>51749.843220118593</v>
      </c>
      <c r="J1244" s="727">
        <f t="shared" si="114"/>
        <v>0</v>
      </c>
      <c r="K1244" s="727"/>
      <c r="L1244" s="732"/>
      <c r="M1244" s="727">
        <f t="shared" si="115"/>
        <v>0</v>
      </c>
      <c r="N1244" s="732"/>
      <c r="O1244" s="727">
        <f t="shared" si="116"/>
        <v>0</v>
      </c>
      <c r="P1244" s="727">
        <f t="shared" si="117"/>
        <v>0</v>
      </c>
      <c r="Q1244" s="675"/>
    </row>
    <row r="1245" spans="2:17">
      <c r="B1245" s="332"/>
      <c r="C1245" s="723">
        <f>IF(D1215="","-",+C1244+1)</f>
        <v>2041</v>
      </c>
      <c r="D1245" s="674">
        <f t="shared" si="118"/>
        <v>352912.28499999957</v>
      </c>
      <c r="E1245" s="730">
        <f t="shared" si="119"/>
        <v>15344.012391304346</v>
      </c>
      <c r="F1245" s="730">
        <f t="shared" si="112"/>
        <v>337568.2726086952</v>
      </c>
      <c r="G1245" s="674">
        <f t="shared" si="113"/>
        <v>345240.27880434738</v>
      </c>
      <c r="H1245" s="724">
        <f>+J1216*G1245+E1245</f>
        <v>50200.658929530749</v>
      </c>
      <c r="I1245" s="731">
        <f>+J1217*G1245+E1245</f>
        <v>50200.658929530749</v>
      </c>
      <c r="J1245" s="727">
        <f t="shared" si="114"/>
        <v>0</v>
      </c>
      <c r="K1245" s="727"/>
      <c r="L1245" s="732"/>
      <c r="M1245" s="727">
        <f t="shared" si="115"/>
        <v>0</v>
      </c>
      <c r="N1245" s="732"/>
      <c r="O1245" s="727">
        <f t="shared" si="116"/>
        <v>0</v>
      </c>
      <c r="P1245" s="727">
        <f t="shared" si="117"/>
        <v>0</v>
      </c>
      <c r="Q1245" s="675"/>
    </row>
    <row r="1246" spans="2:17">
      <c r="B1246" s="332"/>
      <c r="C1246" s="723">
        <f>IF(D1215="","-",+C1245+1)</f>
        <v>2042</v>
      </c>
      <c r="D1246" s="674">
        <f t="shared" si="118"/>
        <v>337568.2726086952</v>
      </c>
      <c r="E1246" s="730">
        <f t="shared" si="119"/>
        <v>15344.012391304346</v>
      </c>
      <c r="F1246" s="730">
        <f t="shared" si="112"/>
        <v>322224.26021739084</v>
      </c>
      <c r="G1246" s="674">
        <f t="shared" si="113"/>
        <v>329896.26641304302</v>
      </c>
      <c r="H1246" s="724">
        <f>+J1216*G1246+E1246</f>
        <v>48651.474638942906</v>
      </c>
      <c r="I1246" s="731">
        <f>+J1217*G1246+E1246</f>
        <v>48651.474638942906</v>
      </c>
      <c r="J1246" s="727">
        <f t="shared" si="114"/>
        <v>0</v>
      </c>
      <c r="K1246" s="727"/>
      <c r="L1246" s="732"/>
      <c r="M1246" s="727">
        <f t="shared" si="115"/>
        <v>0</v>
      </c>
      <c r="N1246" s="732"/>
      <c r="O1246" s="727">
        <f t="shared" si="116"/>
        <v>0</v>
      </c>
      <c r="P1246" s="727">
        <f t="shared" si="117"/>
        <v>0</v>
      </c>
      <c r="Q1246" s="675"/>
    </row>
    <row r="1247" spans="2:17">
      <c r="B1247" s="332"/>
      <c r="C1247" s="723">
        <f>IF(D1215="","-",+C1246+1)</f>
        <v>2043</v>
      </c>
      <c r="D1247" s="674">
        <f t="shared" si="118"/>
        <v>322224.26021739084</v>
      </c>
      <c r="E1247" s="730">
        <f t="shared" si="119"/>
        <v>15344.012391304346</v>
      </c>
      <c r="F1247" s="730">
        <f t="shared" si="112"/>
        <v>306880.24782608647</v>
      </c>
      <c r="G1247" s="674">
        <f t="shared" si="113"/>
        <v>314552.25402173866</v>
      </c>
      <c r="H1247" s="724">
        <f>+J1216*G1247+E1247</f>
        <v>47102.290348355062</v>
      </c>
      <c r="I1247" s="731">
        <f>+J1217*G1247+E1247</f>
        <v>47102.290348355062</v>
      </c>
      <c r="J1247" s="727">
        <f t="shared" si="114"/>
        <v>0</v>
      </c>
      <c r="K1247" s="727"/>
      <c r="L1247" s="732"/>
      <c r="M1247" s="727">
        <f t="shared" si="115"/>
        <v>0</v>
      </c>
      <c r="N1247" s="732"/>
      <c r="O1247" s="727">
        <f t="shared" si="116"/>
        <v>0</v>
      </c>
      <c r="P1247" s="727">
        <f t="shared" si="117"/>
        <v>0</v>
      </c>
      <c r="Q1247" s="675"/>
    </row>
    <row r="1248" spans="2:17">
      <c r="B1248" s="332"/>
      <c r="C1248" s="723">
        <f>IF(D1215="","-",+C1247+1)</f>
        <v>2044</v>
      </c>
      <c r="D1248" s="674">
        <f t="shared" si="118"/>
        <v>306880.24782608647</v>
      </c>
      <c r="E1248" s="730">
        <f t="shared" si="119"/>
        <v>15344.012391304346</v>
      </c>
      <c r="F1248" s="730">
        <f t="shared" si="112"/>
        <v>291536.23543478211</v>
      </c>
      <c r="G1248" s="674">
        <f t="shared" si="113"/>
        <v>299208.24163043429</v>
      </c>
      <c r="H1248" s="724">
        <f>+J1216*G1248+E1248</f>
        <v>45553.106057767218</v>
      </c>
      <c r="I1248" s="731">
        <f>+J1217*G1248+E1248</f>
        <v>45553.106057767218</v>
      </c>
      <c r="J1248" s="727">
        <f t="shared" si="114"/>
        <v>0</v>
      </c>
      <c r="K1248" s="727"/>
      <c r="L1248" s="732"/>
      <c r="M1248" s="727">
        <f t="shared" si="115"/>
        <v>0</v>
      </c>
      <c r="N1248" s="732"/>
      <c r="O1248" s="727">
        <f t="shared" si="116"/>
        <v>0</v>
      </c>
      <c r="P1248" s="727">
        <f t="shared" si="117"/>
        <v>0</v>
      </c>
      <c r="Q1248" s="675"/>
    </row>
    <row r="1249" spans="2:17">
      <c r="B1249" s="332"/>
      <c r="C1249" s="723">
        <f>IF(D1215="","-",+C1248+1)</f>
        <v>2045</v>
      </c>
      <c r="D1249" s="674">
        <f t="shared" si="118"/>
        <v>291536.23543478211</v>
      </c>
      <c r="E1249" s="730">
        <f t="shared" si="119"/>
        <v>15344.012391304346</v>
      </c>
      <c r="F1249" s="730">
        <f t="shared" si="112"/>
        <v>276192.22304347774</v>
      </c>
      <c r="G1249" s="674">
        <f t="shared" si="113"/>
        <v>283864.22923912993</v>
      </c>
      <c r="H1249" s="724">
        <f>+J1216*G1249+E1249</f>
        <v>44003.921767179374</v>
      </c>
      <c r="I1249" s="731">
        <f>+J1217*G1249+E1249</f>
        <v>44003.921767179374</v>
      </c>
      <c r="J1249" s="727">
        <f t="shared" si="114"/>
        <v>0</v>
      </c>
      <c r="K1249" s="727"/>
      <c r="L1249" s="732"/>
      <c r="M1249" s="727">
        <f t="shared" si="115"/>
        <v>0</v>
      </c>
      <c r="N1249" s="732"/>
      <c r="O1249" s="727">
        <f t="shared" si="116"/>
        <v>0</v>
      </c>
      <c r="P1249" s="727">
        <f t="shared" si="117"/>
        <v>0</v>
      </c>
      <c r="Q1249" s="675"/>
    </row>
    <row r="1250" spans="2:17">
      <c r="B1250" s="332"/>
      <c r="C1250" s="723">
        <f>IF(D1215="","-",+C1249+1)</f>
        <v>2046</v>
      </c>
      <c r="D1250" s="674">
        <f t="shared" si="118"/>
        <v>276192.22304347774</v>
      </c>
      <c r="E1250" s="730">
        <f t="shared" si="119"/>
        <v>15344.012391304346</v>
      </c>
      <c r="F1250" s="730">
        <f t="shared" si="112"/>
        <v>260848.21065217341</v>
      </c>
      <c r="G1250" s="674">
        <f t="shared" si="113"/>
        <v>268520.21684782556</v>
      </c>
      <c r="H1250" s="724">
        <f>+J1216*G1250+E1250</f>
        <v>42454.73747659153</v>
      </c>
      <c r="I1250" s="731">
        <f>+J1217*G1250+E1250</f>
        <v>42454.73747659153</v>
      </c>
      <c r="J1250" s="727">
        <f t="shared" si="114"/>
        <v>0</v>
      </c>
      <c r="K1250" s="727"/>
      <c r="L1250" s="732"/>
      <c r="M1250" s="727">
        <f t="shared" si="115"/>
        <v>0</v>
      </c>
      <c r="N1250" s="732"/>
      <c r="O1250" s="727">
        <f t="shared" si="116"/>
        <v>0</v>
      </c>
      <c r="P1250" s="727">
        <f t="shared" si="117"/>
        <v>0</v>
      </c>
      <c r="Q1250" s="675"/>
    </row>
    <row r="1251" spans="2:17">
      <c r="B1251" s="332"/>
      <c r="C1251" s="723">
        <f>IF(D1215="","-",+C1250+1)</f>
        <v>2047</v>
      </c>
      <c r="D1251" s="674">
        <f t="shared" si="118"/>
        <v>260848.21065217341</v>
      </c>
      <c r="E1251" s="730">
        <f t="shared" si="119"/>
        <v>15344.012391304346</v>
      </c>
      <c r="F1251" s="730">
        <f t="shared" si="112"/>
        <v>245504.19826086907</v>
      </c>
      <c r="G1251" s="674">
        <f t="shared" si="113"/>
        <v>253176.20445652126</v>
      </c>
      <c r="H1251" s="724">
        <f>+J1216*G1251+E1251</f>
        <v>40905.553186003701</v>
      </c>
      <c r="I1251" s="731">
        <f>+J1217*G1251+E1251</f>
        <v>40905.553186003701</v>
      </c>
      <c r="J1251" s="727">
        <f t="shared" si="114"/>
        <v>0</v>
      </c>
      <c r="K1251" s="727"/>
      <c r="L1251" s="732"/>
      <c r="M1251" s="727">
        <f t="shared" si="115"/>
        <v>0</v>
      </c>
      <c r="N1251" s="732"/>
      <c r="O1251" s="727">
        <f t="shared" si="116"/>
        <v>0</v>
      </c>
      <c r="P1251" s="727">
        <f t="shared" si="117"/>
        <v>0</v>
      </c>
      <c r="Q1251" s="675"/>
    </row>
    <row r="1252" spans="2:17">
      <c r="B1252" s="332"/>
      <c r="C1252" s="723">
        <f>IF(D1215="","-",+C1251+1)</f>
        <v>2048</v>
      </c>
      <c r="D1252" s="674">
        <f t="shared" si="118"/>
        <v>245504.19826086907</v>
      </c>
      <c r="E1252" s="730">
        <f t="shared" si="119"/>
        <v>15344.012391304346</v>
      </c>
      <c r="F1252" s="730">
        <f t="shared" si="112"/>
        <v>230160.18586956474</v>
      </c>
      <c r="G1252" s="674">
        <f t="shared" si="113"/>
        <v>237832.19206521689</v>
      </c>
      <c r="H1252" s="724">
        <f>+J1216*G1252+E1252</f>
        <v>39356.368895415857</v>
      </c>
      <c r="I1252" s="731">
        <f>+J1217*G1252+E1252</f>
        <v>39356.368895415857</v>
      </c>
      <c r="J1252" s="727">
        <f t="shared" si="114"/>
        <v>0</v>
      </c>
      <c r="K1252" s="727"/>
      <c r="L1252" s="732"/>
      <c r="M1252" s="727">
        <f t="shared" si="115"/>
        <v>0</v>
      </c>
      <c r="N1252" s="732"/>
      <c r="O1252" s="727">
        <f t="shared" si="116"/>
        <v>0</v>
      </c>
      <c r="P1252" s="727">
        <f t="shared" si="117"/>
        <v>0</v>
      </c>
      <c r="Q1252" s="675"/>
    </row>
    <row r="1253" spans="2:17">
      <c r="B1253" s="332"/>
      <c r="C1253" s="723">
        <f>IF(D1215="","-",+C1252+1)</f>
        <v>2049</v>
      </c>
      <c r="D1253" s="674">
        <f t="shared" si="118"/>
        <v>230160.18586956474</v>
      </c>
      <c r="E1253" s="730">
        <f t="shared" si="119"/>
        <v>15344.012391304346</v>
      </c>
      <c r="F1253" s="730">
        <f t="shared" si="112"/>
        <v>214816.1734782604</v>
      </c>
      <c r="G1253" s="674">
        <f t="shared" si="113"/>
        <v>222488.17967391259</v>
      </c>
      <c r="H1253" s="724">
        <f>+J1216*G1253+E1253</f>
        <v>37807.184604828013</v>
      </c>
      <c r="I1253" s="731">
        <f>+J1217*G1253+E1253</f>
        <v>37807.184604828013</v>
      </c>
      <c r="J1253" s="727">
        <f t="shared" si="114"/>
        <v>0</v>
      </c>
      <c r="K1253" s="727"/>
      <c r="L1253" s="732"/>
      <c r="M1253" s="727">
        <f t="shared" si="115"/>
        <v>0</v>
      </c>
      <c r="N1253" s="732"/>
      <c r="O1253" s="727">
        <f t="shared" si="116"/>
        <v>0</v>
      </c>
      <c r="P1253" s="727">
        <f t="shared" si="117"/>
        <v>0</v>
      </c>
      <c r="Q1253" s="675"/>
    </row>
    <row r="1254" spans="2:17">
      <c r="B1254" s="332"/>
      <c r="C1254" s="723">
        <f>IF(D1215="","-",+C1253+1)</f>
        <v>2050</v>
      </c>
      <c r="D1254" s="674">
        <f t="shared" si="118"/>
        <v>214816.1734782604</v>
      </c>
      <c r="E1254" s="730">
        <f t="shared" si="119"/>
        <v>15344.012391304346</v>
      </c>
      <c r="F1254" s="730">
        <f t="shared" si="112"/>
        <v>199472.16108695607</v>
      </c>
      <c r="G1254" s="674">
        <f t="shared" si="113"/>
        <v>207144.16728260822</v>
      </c>
      <c r="H1254" s="724">
        <f>+J1216*G1254+E1254</f>
        <v>36258.000314240169</v>
      </c>
      <c r="I1254" s="731">
        <f>+J1217*G1254+E1254</f>
        <v>36258.000314240169</v>
      </c>
      <c r="J1254" s="727">
        <f t="shared" si="114"/>
        <v>0</v>
      </c>
      <c r="K1254" s="727"/>
      <c r="L1254" s="732"/>
      <c r="M1254" s="727">
        <f t="shared" si="115"/>
        <v>0</v>
      </c>
      <c r="N1254" s="732"/>
      <c r="O1254" s="727">
        <f t="shared" si="116"/>
        <v>0</v>
      </c>
      <c r="P1254" s="727">
        <f t="shared" si="117"/>
        <v>0</v>
      </c>
      <c r="Q1254" s="675"/>
    </row>
    <row r="1255" spans="2:17">
      <c r="B1255" s="332"/>
      <c r="C1255" s="723">
        <f>IF(D1215="","-",+C1254+1)</f>
        <v>2051</v>
      </c>
      <c r="D1255" s="674">
        <f t="shared" si="118"/>
        <v>199472.16108695607</v>
      </c>
      <c r="E1255" s="730">
        <f t="shared" si="119"/>
        <v>15344.012391304346</v>
      </c>
      <c r="F1255" s="730">
        <f t="shared" si="112"/>
        <v>184128.14869565173</v>
      </c>
      <c r="G1255" s="674">
        <f t="shared" si="113"/>
        <v>191800.15489130392</v>
      </c>
      <c r="H1255" s="724">
        <f>+J1216*G1255+E1255</f>
        <v>34708.816023652333</v>
      </c>
      <c r="I1255" s="731">
        <f>+J1217*G1255+E1255</f>
        <v>34708.816023652333</v>
      </c>
      <c r="J1255" s="727">
        <f t="shared" si="114"/>
        <v>0</v>
      </c>
      <c r="K1255" s="727"/>
      <c r="L1255" s="732"/>
      <c r="M1255" s="727">
        <f t="shared" si="115"/>
        <v>0</v>
      </c>
      <c r="N1255" s="732"/>
      <c r="O1255" s="727">
        <f t="shared" si="116"/>
        <v>0</v>
      </c>
      <c r="P1255" s="727">
        <f t="shared" si="117"/>
        <v>0</v>
      </c>
      <c r="Q1255" s="675"/>
    </row>
    <row r="1256" spans="2:17">
      <c r="B1256" s="332"/>
      <c r="C1256" s="723">
        <f>IF(D1215="","-",+C1255+1)</f>
        <v>2052</v>
      </c>
      <c r="D1256" s="674">
        <f t="shared" si="118"/>
        <v>184128.14869565173</v>
      </c>
      <c r="E1256" s="730">
        <f t="shared" si="119"/>
        <v>15344.012391304346</v>
      </c>
      <c r="F1256" s="730">
        <f t="shared" si="112"/>
        <v>168784.1363043474</v>
      </c>
      <c r="G1256" s="674">
        <f t="shared" si="113"/>
        <v>176456.14249999955</v>
      </c>
      <c r="H1256" s="724">
        <f>+J1216*G1256+E1256</f>
        <v>33159.631733064489</v>
      </c>
      <c r="I1256" s="731">
        <f>+J1217*G1256+E1256</f>
        <v>33159.631733064489</v>
      </c>
      <c r="J1256" s="727">
        <f t="shared" si="114"/>
        <v>0</v>
      </c>
      <c r="K1256" s="727"/>
      <c r="L1256" s="732"/>
      <c r="M1256" s="727">
        <f t="shared" si="115"/>
        <v>0</v>
      </c>
      <c r="N1256" s="732"/>
      <c r="O1256" s="727">
        <f t="shared" si="116"/>
        <v>0</v>
      </c>
      <c r="P1256" s="727">
        <f t="shared" si="117"/>
        <v>0</v>
      </c>
      <c r="Q1256" s="675"/>
    </row>
    <row r="1257" spans="2:17">
      <c r="B1257" s="332"/>
      <c r="C1257" s="723">
        <f>IF(D1215="","-",+C1256+1)</f>
        <v>2053</v>
      </c>
      <c r="D1257" s="674">
        <f t="shared" si="118"/>
        <v>168784.1363043474</v>
      </c>
      <c r="E1257" s="730">
        <f t="shared" si="119"/>
        <v>15344.012391304346</v>
      </c>
      <c r="F1257" s="730">
        <f t="shared" si="112"/>
        <v>153440.12391304306</v>
      </c>
      <c r="G1257" s="674">
        <f t="shared" si="113"/>
        <v>161112.13010869524</v>
      </c>
      <c r="H1257" s="724">
        <f>+J1216*G1257+E1257</f>
        <v>31610.447442476649</v>
      </c>
      <c r="I1257" s="731">
        <f>+J1217*G1257+E1257</f>
        <v>31610.447442476649</v>
      </c>
      <c r="J1257" s="727">
        <f t="shared" si="114"/>
        <v>0</v>
      </c>
      <c r="K1257" s="727"/>
      <c r="L1257" s="732"/>
      <c r="M1257" s="727">
        <f t="shared" si="115"/>
        <v>0</v>
      </c>
      <c r="N1257" s="732"/>
      <c r="O1257" s="727">
        <f t="shared" si="116"/>
        <v>0</v>
      </c>
      <c r="P1257" s="727">
        <f t="shared" si="117"/>
        <v>0</v>
      </c>
      <c r="Q1257" s="675"/>
    </row>
    <row r="1258" spans="2:17">
      <c r="B1258" s="332"/>
      <c r="C1258" s="723">
        <f>IF(D1215="","-",+C1257+1)</f>
        <v>2054</v>
      </c>
      <c r="D1258" s="674">
        <f t="shared" si="118"/>
        <v>153440.12391304306</v>
      </c>
      <c r="E1258" s="730">
        <f t="shared" si="119"/>
        <v>15344.012391304346</v>
      </c>
      <c r="F1258" s="730">
        <f t="shared" si="112"/>
        <v>138096.11152173873</v>
      </c>
      <c r="G1258" s="674">
        <f t="shared" si="113"/>
        <v>145768.11771739088</v>
      </c>
      <c r="H1258" s="724">
        <f>+J1216*G1258+E1258</f>
        <v>30061.263151888805</v>
      </c>
      <c r="I1258" s="731">
        <f>+J1217*G1258+E1258</f>
        <v>30061.263151888805</v>
      </c>
      <c r="J1258" s="727">
        <f t="shared" si="114"/>
        <v>0</v>
      </c>
      <c r="K1258" s="727"/>
      <c r="L1258" s="732"/>
      <c r="M1258" s="727">
        <f t="shared" si="115"/>
        <v>0</v>
      </c>
      <c r="N1258" s="732"/>
      <c r="O1258" s="727">
        <f t="shared" si="116"/>
        <v>0</v>
      </c>
      <c r="P1258" s="727">
        <f t="shared" si="117"/>
        <v>0</v>
      </c>
      <c r="Q1258" s="675"/>
    </row>
    <row r="1259" spans="2:17">
      <c r="B1259" s="332"/>
      <c r="C1259" s="723">
        <f>IF(D1215="","-",+C1258+1)</f>
        <v>2055</v>
      </c>
      <c r="D1259" s="674">
        <f t="shared" si="118"/>
        <v>138096.11152173873</v>
      </c>
      <c r="E1259" s="730">
        <f t="shared" si="119"/>
        <v>15344.012391304346</v>
      </c>
      <c r="F1259" s="730">
        <f t="shared" si="112"/>
        <v>122752.09913043438</v>
      </c>
      <c r="G1259" s="674">
        <f t="shared" si="113"/>
        <v>130424.10532608654</v>
      </c>
      <c r="H1259" s="724">
        <f>+J1216*G1259+E1259</f>
        <v>28512.078861300964</v>
      </c>
      <c r="I1259" s="731">
        <f>+J1217*G1259+E1259</f>
        <v>28512.078861300964</v>
      </c>
      <c r="J1259" s="727">
        <f t="shared" si="114"/>
        <v>0</v>
      </c>
      <c r="K1259" s="727"/>
      <c r="L1259" s="732"/>
      <c r="M1259" s="727">
        <f t="shared" si="115"/>
        <v>0</v>
      </c>
      <c r="N1259" s="732"/>
      <c r="O1259" s="727">
        <f t="shared" si="116"/>
        <v>0</v>
      </c>
      <c r="P1259" s="727">
        <f t="shared" si="117"/>
        <v>0</v>
      </c>
      <c r="Q1259" s="675"/>
    </row>
    <row r="1260" spans="2:17">
      <c r="B1260" s="332"/>
      <c r="C1260" s="723">
        <f>IF(D1215="","-",+C1259+1)</f>
        <v>2056</v>
      </c>
      <c r="D1260" s="674">
        <f t="shared" si="118"/>
        <v>122752.09913043438</v>
      </c>
      <c r="E1260" s="730">
        <f t="shared" si="119"/>
        <v>15344.012391304346</v>
      </c>
      <c r="F1260" s="730">
        <f t="shared" si="112"/>
        <v>107408.08673913003</v>
      </c>
      <c r="G1260" s="674">
        <f t="shared" si="113"/>
        <v>115080.09293478221</v>
      </c>
      <c r="H1260" s="724">
        <f>+J1216*G1260+E1260</f>
        <v>26962.894570713121</v>
      </c>
      <c r="I1260" s="731">
        <f>+J1217*G1260+E1260</f>
        <v>26962.894570713121</v>
      </c>
      <c r="J1260" s="727">
        <f t="shared" si="114"/>
        <v>0</v>
      </c>
      <c r="K1260" s="727"/>
      <c r="L1260" s="732"/>
      <c r="M1260" s="727">
        <f t="shared" si="115"/>
        <v>0</v>
      </c>
      <c r="N1260" s="732"/>
      <c r="O1260" s="727">
        <f t="shared" si="116"/>
        <v>0</v>
      </c>
      <c r="P1260" s="727">
        <f t="shared" si="117"/>
        <v>0</v>
      </c>
      <c r="Q1260" s="675"/>
    </row>
    <row r="1261" spans="2:17">
      <c r="B1261" s="332"/>
      <c r="C1261" s="723">
        <f>IF(D1215="","-",+C1260+1)</f>
        <v>2057</v>
      </c>
      <c r="D1261" s="674">
        <f t="shared" si="118"/>
        <v>107408.08673913003</v>
      </c>
      <c r="E1261" s="730">
        <f t="shared" si="119"/>
        <v>15344.012391304346</v>
      </c>
      <c r="F1261" s="730">
        <f t="shared" si="112"/>
        <v>92064.074347825677</v>
      </c>
      <c r="G1261" s="674">
        <f t="shared" si="113"/>
        <v>99736.080543477845</v>
      </c>
      <c r="H1261" s="724">
        <f>+J1216*G1261+E1261</f>
        <v>25413.710280125277</v>
      </c>
      <c r="I1261" s="731">
        <f>+J1217*G1261+E1261</f>
        <v>25413.710280125277</v>
      </c>
      <c r="J1261" s="727">
        <f t="shared" si="114"/>
        <v>0</v>
      </c>
      <c r="K1261" s="727"/>
      <c r="L1261" s="732"/>
      <c r="M1261" s="727">
        <f t="shared" si="115"/>
        <v>0</v>
      </c>
      <c r="N1261" s="732"/>
      <c r="O1261" s="727">
        <f t="shared" si="116"/>
        <v>0</v>
      </c>
      <c r="P1261" s="727">
        <f t="shared" si="117"/>
        <v>0</v>
      </c>
      <c r="Q1261" s="675"/>
    </row>
    <row r="1262" spans="2:17">
      <c r="B1262" s="332"/>
      <c r="C1262" s="723">
        <f>IF(D1215="","-",+C1261+1)</f>
        <v>2058</v>
      </c>
      <c r="D1262" s="674">
        <f t="shared" si="118"/>
        <v>92064.074347825677</v>
      </c>
      <c r="E1262" s="730">
        <f t="shared" si="119"/>
        <v>15344.012391304346</v>
      </c>
      <c r="F1262" s="730">
        <f t="shared" si="112"/>
        <v>76720.061956521327</v>
      </c>
      <c r="G1262" s="674">
        <f t="shared" si="113"/>
        <v>84392.06815217351</v>
      </c>
      <c r="H1262" s="724">
        <f>+J1216*G1262+E1262</f>
        <v>23864.52598953744</v>
      </c>
      <c r="I1262" s="731">
        <f>+J1217*G1262+E1262</f>
        <v>23864.52598953744</v>
      </c>
      <c r="J1262" s="727">
        <f t="shared" si="114"/>
        <v>0</v>
      </c>
      <c r="K1262" s="727"/>
      <c r="L1262" s="732"/>
      <c r="M1262" s="727">
        <f t="shared" si="115"/>
        <v>0</v>
      </c>
      <c r="N1262" s="732"/>
      <c r="O1262" s="727">
        <f t="shared" si="116"/>
        <v>0</v>
      </c>
      <c r="P1262" s="727">
        <f t="shared" si="117"/>
        <v>0</v>
      </c>
      <c r="Q1262" s="675"/>
    </row>
    <row r="1263" spans="2:17">
      <c r="B1263" s="332"/>
      <c r="C1263" s="723">
        <f>IF(D1215="","-",+C1262+1)</f>
        <v>2059</v>
      </c>
      <c r="D1263" s="674">
        <f t="shared" si="118"/>
        <v>76720.061956521327</v>
      </c>
      <c r="E1263" s="730">
        <f t="shared" si="119"/>
        <v>15344.012391304346</v>
      </c>
      <c r="F1263" s="730">
        <f t="shared" si="112"/>
        <v>61376.049565216977</v>
      </c>
      <c r="G1263" s="674">
        <f t="shared" si="113"/>
        <v>69048.055760869145</v>
      </c>
      <c r="H1263" s="724">
        <f>+J1216*G1263+E1263</f>
        <v>22315.341698949596</v>
      </c>
      <c r="I1263" s="731">
        <f>+J1217*G1263+E1263</f>
        <v>22315.341698949596</v>
      </c>
      <c r="J1263" s="727">
        <f t="shared" si="114"/>
        <v>0</v>
      </c>
      <c r="K1263" s="727"/>
      <c r="L1263" s="732"/>
      <c r="M1263" s="727">
        <f t="shared" si="115"/>
        <v>0</v>
      </c>
      <c r="N1263" s="732"/>
      <c r="O1263" s="727">
        <f t="shared" si="116"/>
        <v>0</v>
      </c>
      <c r="P1263" s="727">
        <f t="shared" si="117"/>
        <v>0</v>
      </c>
      <c r="Q1263" s="675"/>
    </row>
    <row r="1264" spans="2:17">
      <c r="B1264" s="332"/>
      <c r="C1264" s="723">
        <f>IF(D1215="","-",+C1263+1)</f>
        <v>2060</v>
      </c>
      <c r="D1264" s="674">
        <f t="shared" si="118"/>
        <v>61376.049565216977</v>
      </c>
      <c r="E1264" s="730">
        <f t="shared" si="119"/>
        <v>15344.012391304346</v>
      </c>
      <c r="F1264" s="730">
        <f t="shared" si="112"/>
        <v>46032.037173912628</v>
      </c>
      <c r="G1264" s="674">
        <f t="shared" si="113"/>
        <v>53704.043369564803</v>
      </c>
      <c r="H1264" s="724">
        <f>+J1216*G1264+E1264</f>
        <v>20766.157408361752</v>
      </c>
      <c r="I1264" s="731">
        <f>+J1217*G1264+E1264</f>
        <v>20766.157408361752</v>
      </c>
      <c r="J1264" s="727">
        <f t="shared" si="114"/>
        <v>0</v>
      </c>
      <c r="K1264" s="727"/>
      <c r="L1264" s="732"/>
      <c r="M1264" s="727">
        <f t="shared" si="115"/>
        <v>0</v>
      </c>
      <c r="N1264" s="732"/>
      <c r="O1264" s="727">
        <f t="shared" si="116"/>
        <v>0</v>
      </c>
      <c r="P1264" s="727">
        <f t="shared" si="117"/>
        <v>0</v>
      </c>
      <c r="Q1264" s="675"/>
    </row>
    <row r="1265" spans="2:17">
      <c r="B1265" s="332"/>
      <c r="C1265" s="723">
        <f>IF(D1215="","-",+C1264+1)</f>
        <v>2061</v>
      </c>
      <c r="D1265" s="674">
        <f t="shared" si="118"/>
        <v>46032.037173912628</v>
      </c>
      <c r="E1265" s="730">
        <f t="shared" si="119"/>
        <v>15344.012391304346</v>
      </c>
      <c r="F1265" s="730">
        <f t="shared" si="112"/>
        <v>30688.024782608281</v>
      </c>
      <c r="G1265" s="674">
        <f t="shared" si="113"/>
        <v>38360.030978260453</v>
      </c>
      <c r="H1265" s="724">
        <f>+J1216*G1265+E1265</f>
        <v>19216.973117773909</v>
      </c>
      <c r="I1265" s="731">
        <f>+J1217*G1265+E1265</f>
        <v>19216.973117773909</v>
      </c>
      <c r="J1265" s="727">
        <f t="shared" si="114"/>
        <v>0</v>
      </c>
      <c r="K1265" s="727"/>
      <c r="L1265" s="732"/>
      <c r="M1265" s="727">
        <f t="shared" si="115"/>
        <v>0</v>
      </c>
      <c r="N1265" s="732"/>
      <c r="O1265" s="727">
        <f t="shared" si="116"/>
        <v>0</v>
      </c>
      <c r="P1265" s="727">
        <f t="shared" si="117"/>
        <v>0</v>
      </c>
      <c r="Q1265" s="675"/>
    </row>
    <row r="1266" spans="2:17">
      <c r="B1266" s="332"/>
      <c r="C1266" s="723">
        <f>IF(D1215="","-",+C1265+1)</f>
        <v>2062</v>
      </c>
      <c r="D1266" s="674">
        <f t="shared" si="118"/>
        <v>30688.024782608281</v>
      </c>
      <c r="E1266" s="730">
        <f t="shared" si="119"/>
        <v>15344.012391304346</v>
      </c>
      <c r="F1266" s="730">
        <f t="shared" si="112"/>
        <v>15344.012391303935</v>
      </c>
      <c r="G1266" s="674">
        <f t="shared" si="113"/>
        <v>23016.01858695611</v>
      </c>
      <c r="H1266" s="724">
        <f>+J1216*G1266+E1266</f>
        <v>17667.788827186068</v>
      </c>
      <c r="I1266" s="731">
        <f>+J1217*G1266+E1266</f>
        <v>17667.788827186068</v>
      </c>
      <c r="J1266" s="727">
        <f t="shared" si="114"/>
        <v>0</v>
      </c>
      <c r="K1266" s="727"/>
      <c r="L1266" s="732"/>
      <c r="M1266" s="727">
        <f t="shared" si="115"/>
        <v>0</v>
      </c>
      <c r="N1266" s="732"/>
      <c r="O1266" s="727">
        <f t="shared" si="116"/>
        <v>0</v>
      </c>
      <c r="P1266" s="727">
        <f t="shared" si="117"/>
        <v>0</v>
      </c>
      <c r="Q1266" s="675"/>
    </row>
    <row r="1267" spans="2:17">
      <c r="B1267" s="332"/>
      <c r="C1267" s="723">
        <f>IF(D1215="","-",+C1266+1)</f>
        <v>2063</v>
      </c>
      <c r="D1267" s="674">
        <f t="shared" si="118"/>
        <v>15344.012391303935</v>
      </c>
      <c r="E1267" s="730">
        <f t="shared" si="119"/>
        <v>15344.012391303935</v>
      </c>
      <c r="F1267" s="730">
        <f t="shared" si="112"/>
        <v>0</v>
      </c>
      <c r="G1267" s="674">
        <f t="shared" si="113"/>
        <v>7672.0061956519676</v>
      </c>
      <c r="H1267" s="724">
        <f>+J1216*G1267+E1267</f>
        <v>16118.604536597835</v>
      </c>
      <c r="I1267" s="731">
        <f>+J1217*G1267+E1267</f>
        <v>16118.604536597835</v>
      </c>
      <c r="J1267" s="727">
        <f t="shared" si="114"/>
        <v>0</v>
      </c>
      <c r="K1267" s="727"/>
      <c r="L1267" s="732"/>
      <c r="M1267" s="727">
        <f t="shared" si="115"/>
        <v>0</v>
      </c>
      <c r="N1267" s="732"/>
      <c r="O1267" s="727">
        <f t="shared" si="116"/>
        <v>0</v>
      </c>
      <c r="P1267" s="727">
        <f t="shared" si="117"/>
        <v>0</v>
      </c>
      <c r="Q1267" s="675"/>
    </row>
    <row r="1268" spans="2:17">
      <c r="B1268" s="332"/>
      <c r="C1268" s="723">
        <f>IF(D1215="","-",+C1267+1)</f>
        <v>2064</v>
      </c>
      <c r="D1268" s="674">
        <f t="shared" si="118"/>
        <v>0</v>
      </c>
      <c r="E1268" s="730">
        <f t="shared" si="119"/>
        <v>0</v>
      </c>
      <c r="F1268" s="730">
        <f t="shared" si="112"/>
        <v>0</v>
      </c>
      <c r="G1268" s="674">
        <f t="shared" si="113"/>
        <v>0</v>
      </c>
      <c r="H1268" s="724">
        <f>+J1216*G1268+E1268</f>
        <v>0</v>
      </c>
      <c r="I1268" s="731">
        <f>+J1217*G1268+E1268</f>
        <v>0</v>
      </c>
      <c r="J1268" s="727">
        <f t="shared" si="114"/>
        <v>0</v>
      </c>
      <c r="K1268" s="727"/>
      <c r="L1268" s="732"/>
      <c r="M1268" s="727">
        <f t="shared" si="115"/>
        <v>0</v>
      </c>
      <c r="N1268" s="732"/>
      <c r="O1268" s="727">
        <f t="shared" si="116"/>
        <v>0</v>
      </c>
      <c r="P1268" s="727">
        <f t="shared" si="117"/>
        <v>0</v>
      </c>
      <c r="Q1268" s="675"/>
    </row>
    <row r="1269" spans="2:17">
      <c r="B1269" s="332"/>
      <c r="C1269" s="723">
        <f>IF(D1215="","-",+C1268+1)</f>
        <v>2065</v>
      </c>
      <c r="D1269" s="674">
        <f t="shared" si="118"/>
        <v>0</v>
      </c>
      <c r="E1269" s="730">
        <f t="shared" si="119"/>
        <v>0</v>
      </c>
      <c r="F1269" s="730">
        <f t="shared" si="112"/>
        <v>0</v>
      </c>
      <c r="G1269" s="674">
        <f t="shared" si="113"/>
        <v>0</v>
      </c>
      <c r="H1269" s="724">
        <f>+J1216*G1269+E1269</f>
        <v>0</v>
      </c>
      <c r="I1269" s="731">
        <f>+J1217*G1269+E1269</f>
        <v>0</v>
      </c>
      <c r="J1269" s="727">
        <f t="shared" si="114"/>
        <v>0</v>
      </c>
      <c r="K1269" s="727"/>
      <c r="L1269" s="732"/>
      <c r="M1269" s="727">
        <f t="shared" si="115"/>
        <v>0</v>
      </c>
      <c r="N1269" s="732"/>
      <c r="O1269" s="727">
        <f t="shared" si="116"/>
        <v>0</v>
      </c>
      <c r="P1269" s="727">
        <f t="shared" si="117"/>
        <v>0</v>
      </c>
      <c r="Q1269" s="675"/>
    </row>
    <row r="1270" spans="2:17">
      <c r="B1270" s="332"/>
      <c r="C1270" s="723">
        <f>IF(D1215="","-",+C1269+1)</f>
        <v>2066</v>
      </c>
      <c r="D1270" s="674">
        <f t="shared" si="118"/>
        <v>0</v>
      </c>
      <c r="E1270" s="730">
        <f t="shared" si="119"/>
        <v>0</v>
      </c>
      <c r="F1270" s="730">
        <f t="shared" si="112"/>
        <v>0</v>
      </c>
      <c r="G1270" s="674">
        <f t="shared" si="113"/>
        <v>0</v>
      </c>
      <c r="H1270" s="724">
        <f>+J1216*G1270+E1270</f>
        <v>0</v>
      </c>
      <c r="I1270" s="731">
        <f>+J1217*G1270+E1270</f>
        <v>0</v>
      </c>
      <c r="J1270" s="727">
        <f t="shared" si="114"/>
        <v>0</v>
      </c>
      <c r="K1270" s="727"/>
      <c r="L1270" s="732"/>
      <c r="M1270" s="727">
        <f t="shared" si="115"/>
        <v>0</v>
      </c>
      <c r="N1270" s="732"/>
      <c r="O1270" s="727">
        <f t="shared" si="116"/>
        <v>0</v>
      </c>
      <c r="P1270" s="727">
        <f t="shared" si="117"/>
        <v>0</v>
      </c>
      <c r="Q1270" s="675"/>
    </row>
    <row r="1271" spans="2:17">
      <c r="B1271" s="332"/>
      <c r="C1271" s="723">
        <f>IF(D1215="","-",+C1270+1)</f>
        <v>2067</v>
      </c>
      <c r="D1271" s="674">
        <f t="shared" si="118"/>
        <v>0</v>
      </c>
      <c r="E1271" s="730">
        <f t="shared" si="119"/>
        <v>0</v>
      </c>
      <c r="F1271" s="730">
        <f t="shared" si="112"/>
        <v>0</v>
      </c>
      <c r="G1271" s="674">
        <f t="shared" si="113"/>
        <v>0</v>
      </c>
      <c r="H1271" s="724">
        <f>+J1216*G1271+E1271</f>
        <v>0</v>
      </c>
      <c r="I1271" s="731">
        <f>+J1217*G1271+E1271</f>
        <v>0</v>
      </c>
      <c r="J1271" s="727">
        <f t="shared" si="114"/>
        <v>0</v>
      </c>
      <c r="K1271" s="727"/>
      <c r="L1271" s="732"/>
      <c r="M1271" s="727">
        <f t="shared" si="115"/>
        <v>0</v>
      </c>
      <c r="N1271" s="732"/>
      <c r="O1271" s="727">
        <f t="shared" si="116"/>
        <v>0</v>
      </c>
      <c r="P1271" s="727">
        <f t="shared" si="117"/>
        <v>0</v>
      </c>
      <c r="Q1271" s="675"/>
    </row>
    <row r="1272" spans="2:17">
      <c r="B1272" s="332"/>
      <c r="C1272" s="723">
        <f>IF(D1215="","-",+C1271+1)</f>
        <v>2068</v>
      </c>
      <c r="D1272" s="674">
        <f t="shared" si="118"/>
        <v>0</v>
      </c>
      <c r="E1272" s="730">
        <f t="shared" si="119"/>
        <v>0</v>
      </c>
      <c r="F1272" s="730">
        <f t="shared" si="112"/>
        <v>0</v>
      </c>
      <c r="G1272" s="674">
        <f t="shared" si="113"/>
        <v>0</v>
      </c>
      <c r="H1272" s="724">
        <f>+J1216*G1272+E1272</f>
        <v>0</v>
      </c>
      <c r="I1272" s="731">
        <f>+J1217*G1272+E1272</f>
        <v>0</v>
      </c>
      <c r="J1272" s="727">
        <f t="shared" si="114"/>
        <v>0</v>
      </c>
      <c r="K1272" s="727"/>
      <c r="L1272" s="732"/>
      <c r="M1272" s="727">
        <f t="shared" si="115"/>
        <v>0</v>
      </c>
      <c r="N1272" s="732"/>
      <c r="O1272" s="727">
        <f t="shared" si="116"/>
        <v>0</v>
      </c>
      <c r="P1272" s="727">
        <f t="shared" si="117"/>
        <v>0</v>
      </c>
      <c r="Q1272" s="675"/>
    </row>
    <row r="1273" spans="2:17">
      <c r="B1273" s="332"/>
      <c r="C1273" s="723">
        <f>IF(D1215="","-",+C1272+1)</f>
        <v>2069</v>
      </c>
      <c r="D1273" s="674">
        <f t="shared" si="118"/>
        <v>0</v>
      </c>
      <c r="E1273" s="730">
        <f t="shared" si="119"/>
        <v>0</v>
      </c>
      <c r="F1273" s="730">
        <f t="shared" si="112"/>
        <v>0</v>
      </c>
      <c r="G1273" s="674">
        <f t="shared" si="113"/>
        <v>0</v>
      </c>
      <c r="H1273" s="724">
        <f>+J1216*G1273+E1273</f>
        <v>0</v>
      </c>
      <c r="I1273" s="731">
        <f>+J1217*G1273+E1273</f>
        <v>0</v>
      </c>
      <c r="J1273" s="727">
        <f t="shared" si="114"/>
        <v>0</v>
      </c>
      <c r="K1273" s="727"/>
      <c r="L1273" s="732"/>
      <c r="M1273" s="727">
        <f t="shared" si="115"/>
        <v>0</v>
      </c>
      <c r="N1273" s="732"/>
      <c r="O1273" s="727">
        <f t="shared" si="116"/>
        <v>0</v>
      </c>
      <c r="P1273" s="727">
        <f t="shared" si="117"/>
        <v>0</v>
      </c>
      <c r="Q1273" s="675"/>
    </row>
    <row r="1274" spans="2:17">
      <c r="B1274" s="332"/>
      <c r="C1274" s="723">
        <f>IF(D1215="","-",+C1273+1)</f>
        <v>2070</v>
      </c>
      <c r="D1274" s="674">
        <f t="shared" si="118"/>
        <v>0</v>
      </c>
      <c r="E1274" s="730">
        <f t="shared" si="119"/>
        <v>0</v>
      </c>
      <c r="F1274" s="730">
        <f t="shared" si="112"/>
        <v>0</v>
      </c>
      <c r="G1274" s="674">
        <f t="shared" si="113"/>
        <v>0</v>
      </c>
      <c r="H1274" s="724">
        <f>+J1216*G1274+E1274</f>
        <v>0</v>
      </c>
      <c r="I1274" s="731">
        <f>+J1217*G1274+E1274</f>
        <v>0</v>
      </c>
      <c r="J1274" s="727">
        <f t="shared" si="114"/>
        <v>0</v>
      </c>
      <c r="K1274" s="727"/>
      <c r="L1274" s="732"/>
      <c r="M1274" s="727">
        <f t="shared" si="115"/>
        <v>0</v>
      </c>
      <c r="N1274" s="732"/>
      <c r="O1274" s="727">
        <f t="shared" si="116"/>
        <v>0</v>
      </c>
      <c r="P1274" s="727">
        <f t="shared" si="117"/>
        <v>0</v>
      </c>
      <c r="Q1274" s="675"/>
    </row>
    <row r="1275" spans="2:17">
      <c r="B1275" s="332"/>
      <c r="C1275" s="723">
        <f>IF(D1215="","-",+C1274+1)</f>
        <v>2071</v>
      </c>
      <c r="D1275" s="674">
        <f t="shared" si="118"/>
        <v>0</v>
      </c>
      <c r="E1275" s="730">
        <f t="shared" si="119"/>
        <v>0</v>
      </c>
      <c r="F1275" s="730">
        <f t="shared" si="112"/>
        <v>0</v>
      </c>
      <c r="G1275" s="674">
        <f t="shared" si="113"/>
        <v>0</v>
      </c>
      <c r="H1275" s="724">
        <f>+J1216*G1275+E1275</f>
        <v>0</v>
      </c>
      <c r="I1275" s="731">
        <f>+J1217*G1275+E1275</f>
        <v>0</v>
      </c>
      <c r="J1275" s="727">
        <f t="shared" si="114"/>
        <v>0</v>
      </c>
      <c r="K1275" s="727"/>
      <c r="L1275" s="732"/>
      <c r="M1275" s="727">
        <f t="shared" si="115"/>
        <v>0</v>
      </c>
      <c r="N1275" s="732"/>
      <c r="O1275" s="727">
        <f t="shared" si="116"/>
        <v>0</v>
      </c>
      <c r="P1275" s="727">
        <f t="shared" si="117"/>
        <v>0</v>
      </c>
      <c r="Q1275" s="675"/>
    </row>
    <row r="1276" spans="2:17">
      <c r="B1276" s="332"/>
      <c r="C1276" s="723">
        <f>IF(D1215="","-",+C1275+1)</f>
        <v>2072</v>
      </c>
      <c r="D1276" s="674">
        <f t="shared" si="118"/>
        <v>0</v>
      </c>
      <c r="E1276" s="730">
        <f t="shared" si="119"/>
        <v>0</v>
      </c>
      <c r="F1276" s="730">
        <f t="shared" si="112"/>
        <v>0</v>
      </c>
      <c r="G1276" s="674">
        <f t="shared" si="113"/>
        <v>0</v>
      </c>
      <c r="H1276" s="724">
        <f>+J1216*G1276+E1276</f>
        <v>0</v>
      </c>
      <c r="I1276" s="731">
        <f>+J1217*G1276+E1276</f>
        <v>0</v>
      </c>
      <c r="J1276" s="727">
        <f t="shared" si="114"/>
        <v>0</v>
      </c>
      <c r="K1276" s="727"/>
      <c r="L1276" s="732"/>
      <c r="M1276" s="727">
        <f t="shared" si="115"/>
        <v>0</v>
      </c>
      <c r="N1276" s="732"/>
      <c r="O1276" s="727">
        <f t="shared" si="116"/>
        <v>0</v>
      </c>
      <c r="P1276" s="727">
        <f t="shared" si="117"/>
        <v>0</v>
      </c>
      <c r="Q1276" s="675"/>
    </row>
    <row r="1277" spans="2:17">
      <c r="B1277" s="332"/>
      <c r="C1277" s="723">
        <f>IF(D1215="","-",+C1276+1)</f>
        <v>2073</v>
      </c>
      <c r="D1277" s="674">
        <f t="shared" si="118"/>
        <v>0</v>
      </c>
      <c r="E1277" s="730">
        <f t="shared" si="119"/>
        <v>0</v>
      </c>
      <c r="F1277" s="730">
        <f t="shared" si="112"/>
        <v>0</v>
      </c>
      <c r="G1277" s="674">
        <f t="shared" si="113"/>
        <v>0</v>
      </c>
      <c r="H1277" s="724">
        <f>+J1216*G1277+E1277</f>
        <v>0</v>
      </c>
      <c r="I1277" s="731">
        <f>+J1217*G1277+E1277</f>
        <v>0</v>
      </c>
      <c r="J1277" s="727">
        <f t="shared" si="114"/>
        <v>0</v>
      </c>
      <c r="K1277" s="727"/>
      <c r="L1277" s="732"/>
      <c r="M1277" s="727">
        <f t="shared" si="115"/>
        <v>0</v>
      </c>
      <c r="N1277" s="732"/>
      <c r="O1277" s="727">
        <f t="shared" si="116"/>
        <v>0</v>
      </c>
      <c r="P1277" s="727">
        <f t="shared" si="117"/>
        <v>0</v>
      </c>
      <c r="Q1277" s="675"/>
    </row>
    <row r="1278" spans="2:17">
      <c r="B1278" s="332"/>
      <c r="C1278" s="723">
        <f>IF(D1215="","-",+C1277+1)</f>
        <v>2074</v>
      </c>
      <c r="D1278" s="674">
        <f t="shared" si="118"/>
        <v>0</v>
      </c>
      <c r="E1278" s="730">
        <f t="shared" si="119"/>
        <v>0</v>
      </c>
      <c r="F1278" s="730">
        <f t="shared" si="112"/>
        <v>0</v>
      </c>
      <c r="G1278" s="674">
        <f t="shared" si="113"/>
        <v>0</v>
      </c>
      <c r="H1278" s="724">
        <f>+J1216*G1278+E1278</f>
        <v>0</v>
      </c>
      <c r="I1278" s="731">
        <f>+J1217*G1278+E1278</f>
        <v>0</v>
      </c>
      <c r="J1278" s="727">
        <f t="shared" si="114"/>
        <v>0</v>
      </c>
      <c r="K1278" s="727"/>
      <c r="L1278" s="732"/>
      <c r="M1278" s="727">
        <f t="shared" si="115"/>
        <v>0</v>
      </c>
      <c r="N1278" s="732"/>
      <c r="O1278" s="727">
        <f t="shared" si="116"/>
        <v>0</v>
      </c>
      <c r="P1278" s="727">
        <f t="shared" si="117"/>
        <v>0</v>
      </c>
      <c r="Q1278" s="675"/>
    </row>
    <row r="1279" spans="2:17">
      <c r="B1279" s="332"/>
      <c r="C1279" s="723">
        <f>IF(D1215="","-",+C1278+1)</f>
        <v>2075</v>
      </c>
      <c r="D1279" s="674">
        <f t="shared" si="118"/>
        <v>0</v>
      </c>
      <c r="E1279" s="730">
        <f t="shared" si="119"/>
        <v>0</v>
      </c>
      <c r="F1279" s="730">
        <f t="shared" si="112"/>
        <v>0</v>
      </c>
      <c r="G1279" s="674">
        <f t="shared" si="113"/>
        <v>0</v>
      </c>
      <c r="H1279" s="724">
        <f>+J1216*G1279+E1279</f>
        <v>0</v>
      </c>
      <c r="I1279" s="731">
        <f>+J1217*G1279+E1279</f>
        <v>0</v>
      </c>
      <c r="J1279" s="727">
        <f t="shared" si="114"/>
        <v>0</v>
      </c>
      <c r="K1279" s="727"/>
      <c r="L1279" s="732"/>
      <c r="M1279" s="727">
        <f t="shared" si="115"/>
        <v>0</v>
      </c>
      <c r="N1279" s="732"/>
      <c r="O1279" s="727">
        <f t="shared" si="116"/>
        <v>0</v>
      </c>
      <c r="P1279" s="727">
        <f t="shared" si="117"/>
        <v>0</v>
      </c>
      <c r="Q1279" s="675"/>
    </row>
    <row r="1280" spans="2:17" ht="13.5" thickBot="1">
      <c r="B1280" s="332"/>
      <c r="C1280" s="735">
        <f>IF(D1215="","-",+C1279+1)</f>
        <v>2076</v>
      </c>
      <c r="D1280" s="736">
        <f t="shared" si="118"/>
        <v>0</v>
      </c>
      <c r="E1280" s="1304">
        <f t="shared" si="119"/>
        <v>0</v>
      </c>
      <c r="F1280" s="737">
        <f t="shared" si="112"/>
        <v>0</v>
      </c>
      <c r="G1280" s="736">
        <f t="shared" si="113"/>
        <v>0</v>
      </c>
      <c r="H1280" s="738">
        <f>+J1216*G1280+E1280</f>
        <v>0</v>
      </c>
      <c r="I1280" s="738">
        <f>+J1217*G1280+E1280</f>
        <v>0</v>
      </c>
      <c r="J1280" s="739">
        <f t="shared" si="114"/>
        <v>0</v>
      </c>
      <c r="K1280" s="727"/>
      <c r="L1280" s="740"/>
      <c r="M1280" s="739">
        <f t="shared" si="115"/>
        <v>0</v>
      </c>
      <c r="N1280" s="740"/>
      <c r="O1280" s="739">
        <f t="shared" si="116"/>
        <v>0</v>
      </c>
      <c r="P1280" s="739">
        <f t="shared" si="117"/>
        <v>0</v>
      </c>
      <c r="Q1280" s="675"/>
    </row>
    <row r="1281" spans="1:17">
      <c r="B1281" s="332"/>
      <c r="C1281" s="674" t="s">
        <v>288</v>
      </c>
      <c r="D1281" s="670"/>
      <c r="E1281" s="670">
        <f>SUM(E1221:E1280)</f>
        <v>705824.56999999983</v>
      </c>
      <c r="F1281" s="670"/>
      <c r="G1281" s="670"/>
      <c r="H1281" s="670">
        <f>SUM(H1221:H1280)</f>
        <v>2416124.0268089753</v>
      </c>
      <c r="I1281" s="670">
        <f>SUM(I1221:I1280)</f>
        <v>2416124.0268089753</v>
      </c>
      <c r="J1281" s="670">
        <f>SUM(J1221:J1280)</f>
        <v>0</v>
      </c>
      <c r="K1281" s="670"/>
      <c r="L1281" s="670"/>
      <c r="M1281" s="670"/>
      <c r="N1281" s="670"/>
      <c r="O1281" s="670"/>
      <c r="Q1281" s="670"/>
    </row>
    <row r="1282" spans="1:17">
      <c r="B1282" s="332"/>
      <c r="D1282" s="564"/>
      <c r="E1282" s="541"/>
      <c r="F1282" s="541"/>
      <c r="G1282" s="541"/>
      <c r="H1282" s="541"/>
      <c r="I1282" s="647"/>
      <c r="J1282" s="647"/>
      <c r="K1282" s="670"/>
      <c r="L1282" s="647"/>
      <c r="M1282" s="647"/>
      <c r="N1282" s="647"/>
      <c r="O1282" s="647"/>
      <c r="Q1282" s="670"/>
    </row>
    <row r="1283" spans="1:17">
      <c r="B1283" s="332"/>
      <c r="C1283" s="541" t="s">
        <v>601</v>
      </c>
      <c r="D1283" s="564"/>
      <c r="E1283" s="541"/>
      <c r="F1283" s="541"/>
      <c r="G1283" s="541"/>
      <c r="H1283" s="541"/>
      <c r="I1283" s="647"/>
      <c r="J1283" s="647"/>
      <c r="K1283" s="670"/>
      <c r="L1283" s="647"/>
      <c r="M1283" s="647"/>
      <c r="N1283" s="647"/>
      <c r="O1283" s="647"/>
      <c r="Q1283" s="670"/>
    </row>
    <row r="1284" spans="1:17">
      <c r="B1284" s="332"/>
      <c r="D1284" s="564"/>
      <c r="E1284" s="541"/>
      <c r="F1284" s="541"/>
      <c r="G1284" s="541"/>
      <c r="H1284" s="541"/>
      <c r="I1284" s="647"/>
      <c r="J1284" s="647"/>
      <c r="K1284" s="670"/>
      <c r="L1284" s="647"/>
      <c r="M1284" s="647"/>
      <c r="N1284" s="647"/>
      <c r="O1284" s="647"/>
      <c r="Q1284" s="670"/>
    </row>
    <row r="1285" spans="1:17">
      <c r="B1285" s="332"/>
      <c r="C1285" s="577" t="s">
        <v>602</v>
      </c>
      <c r="D1285" s="674"/>
      <c r="E1285" s="674"/>
      <c r="F1285" s="674"/>
      <c r="G1285" s="674"/>
      <c r="H1285" s="670"/>
      <c r="I1285" s="670"/>
      <c r="J1285" s="675"/>
      <c r="K1285" s="675"/>
      <c r="L1285" s="675"/>
      <c r="M1285" s="675"/>
      <c r="N1285" s="675"/>
      <c r="O1285" s="675"/>
      <c r="Q1285" s="675"/>
    </row>
    <row r="1286" spans="1:17">
      <c r="B1286" s="332"/>
      <c r="C1286" s="577" t="s">
        <v>476</v>
      </c>
      <c r="D1286" s="674"/>
      <c r="E1286" s="674"/>
      <c r="F1286" s="674"/>
      <c r="G1286" s="674"/>
      <c r="H1286" s="670"/>
      <c r="I1286" s="670"/>
      <c r="J1286" s="675"/>
      <c r="K1286" s="675"/>
      <c r="L1286" s="675"/>
      <c r="M1286" s="675"/>
      <c r="N1286" s="675"/>
      <c r="O1286" s="675"/>
      <c r="Q1286" s="675"/>
    </row>
    <row r="1287" spans="1:17">
      <c r="B1287" s="332"/>
      <c r="C1287" s="577" t="s">
        <v>289</v>
      </c>
      <c r="D1287" s="674"/>
      <c r="E1287" s="674"/>
      <c r="F1287" s="674"/>
      <c r="G1287" s="674"/>
      <c r="H1287" s="670"/>
      <c r="I1287" s="670"/>
      <c r="J1287" s="675"/>
      <c r="K1287" s="675"/>
      <c r="L1287" s="675"/>
      <c r="M1287" s="675"/>
      <c r="N1287" s="675"/>
      <c r="O1287" s="675"/>
      <c r="Q1287" s="675"/>
    </row>
    <row r="1289" spans="1:17" ht="20.25">
      <c r="A1289" s="676" t="s">
        <v>770</v>
      </c>
      <c r="B1289" s="541"/>
      <c r="C1289" s="656"/>
      <c r="D1289" s="564"/>
      <c r="E1289" s="541"/>
      <c r="F1289" s="646"/>
      <c r="G1289" s="646"/>
      <c r="H1289" s="541"/>
      <c r="I1289" s="647"/>
      <c r="L1289" s="677"/>
      <c r="M1289" s="677"/>
      <c r="N1289" s="677"/>
      <c r="O1289" s="592" t="str">
        <f>"Page "&amp;SUM(Q$3:Q1289)&amp;" of "</f>
        <v xml:space="preserve">Page 16 of </v>
      </c>
      <c r="P1289" s="593">
        <f>COUNT(Q$8:Q$58123)</f>
        <v>16</v>
      </c>
      <c r="Q1289" s="761">
        <v>1</v>
      </c>
    </row>
    <row r="1290" spans="1:17">
      <c r="B1290" s="541"/>
      <c r="C1290" s="541"/>
      <c r="D1290" s="564"/>
      <c r="E1290" s="541"/>
      <c r="F1290" s="541"/>
      <c r="G1290" s="541"/>
      <c r="H1290" s="541"/>
      <c r="I1290" s="647"/>
      <c r="J1290" s="541"/>
      <c r="K1290" s="589"/>
      <c r="Q1290" s="589"/>
    </row>
    <row r="1291" spans="1:17" ht="18">
      <c r="B1291" s="596" t="s">
        <v>174</v>
      </c>
      <c r="C1291" s="678" t="s">
        <v>290</v>
      </c>
      <c r="D1291" s="564"/>
      <c r="E1291" s="541"/>
      <c r="F1291" s="541"/>
      <c r="G1291" s="541"/>
      <c r="H1291" s="541"/>
      <c r="I1291" s="647"/>
      <c r="J1291" s="647"/>
      <c r="K1291" s="670"/>
      <c r="L1291" s="647"/>
      <c r="M1291" s="647"/>
      <c r="N1291" s="647"/>
      <c r="O1291" s="647"/>
      <c r="Q1291" s="670"/>
    </row>
    <row r="1292" spans="1:17" ht="18.75">
      <c r="B1292" s="596"/>
      <c r="C1292" s="595"/>
      <c r="D1292" s="564"/>
      <c r="E1292" s="541"/>
      <c r="F1292" s="541"/>
      <c r="G1292" s="541"/>
      <c r="H1292" s="541"/>
      <c r="I1292" s="647"/>
      <c r="J1292" s="647"/>
      <c r="K1292" s="670"/>
      <c r="L1292" s="647"/>
      <c r="M1292" s="647"/>
      <c r="N1292" s="647"/>
      <c r="O1292" s="647"/>
      <c r="Q1292" s="670"/>
    </row>
    <row r="1293" spans="1:17" ht="18.75">
      <c r="B1293" s="596"/>
      <c r="C1293" s="595" t="s">
        <v>291</v>
      </c>
      <c r="D1293" s="564"/>
      <c r="E1293" s="541"/>
      <c r="F1293" s="541"/>
      <c r="G1293" s="541"/>
      <c r="H1293" s="541"/>
      <c r="I1293" s="647"/>
      <c r="J1293" s="647"/>
      <c r="K1293" s="670"/>
      <c r="L1293" s="647"/>
      <c r="M1293" s="647"/>
      <c r="N1293" s="647"/>
      <c r="O1293" s="647"/>
      <c r="Q1293" s="670"/>
    </row>
    <row r="1294" spans="1:17" ht="15.75" thickBot="1">
      <c r="B1294" s="332"/>
      <c r="C1294" s="398"/>
      <c r="D1294" s="564"/>
      <c r="E1294" s="541"/>
      <c r="F1294" s="541"/>
      <c r="G1294" s="541"/>
      <c r="H1294" s="541"/>
      <c r="I1294" s="647"/>
      <c r="J1294" s="647"/>
      <c r="K1294" s="670"/>
      <c r="L1294" s="647"/>
      <c r="M1294" s="647"/>
      <c r="N1294" s="647"/>
      <c r="O1294" s="647"/>
      <c r="Q1294" s="670"/>
    </row>
    <row r="1295" spans="1:17" ht="15.75">
      <c r="B1295" s="332"/>
      <c r="C1295" s="597" t="s">
        <v>292</v>
      </c>
      <c r="D1295" s="564"/>
      <c r="E1295" s="541"/>
      <c r="F1295" s="541"/>
      <c r="G1295" s="541"/>
      <c r="H1295" s="870"/>
      <c r="I1295" s="541" t="s">
        <v>271</v>
      </c>
      <c r="J1295" s="541"/>
      <c r="K1295" s="589"/>
      <c r="L1295" s="762">
        <f>+J1301</f>
        <v>2020</v>
      </c>
      <c r="M1295" s="744" t="s">
        <v>254</v>
      </c>
      <c r="N1295" s="744" t="s">
        <v>255</v>
      </c>
      <c r="O1295" s="745" t="s">
        <v>256</v>
      </c>
      <c r="Q1295" s="589"/>
    </row>
    <row r="1296" spans="1:17" ht="15.75">
      <c r="B1296" s="332"/>
      <c r="C1296" s="597"/>
      <c r="D1296" s="564"/>
      <c r="E1296" s="541"/>
      <c r="F1296" s="541"/>
      <c r="H1296" s="541"/>
      <c r="I1296" s="682"/>
      <c r="J1296" s="682"/>
      <c r="K1296" s="683"/>
      <c r="L1296" s="763" t="s">
        <v>455</v>
      </c>
      <c r="M1296" s="764">
        <f>VLOOKUP(J1301,C1308:P1367,10)</f>
        <v>0</v>
      </c>
      <c r="N1296" s="764">
        <f>VLOOKUP(J1301,C1308:P1367,12)</f>
        <v>0</v>
      </c>
      <c r="O1296" s="765">
        <f>+N1296-M1296</f>
        <v>0</v>
      </c>
      <c r="Q1296" s="683"/>
    </row>
    <row r="1297" spans="1:17">
      <c r="B1297" s="332"/>
      <c r="C1297" s="685" t="s">
        <v>293</v>
      </c>
      <c r="D1297" s="1544" t="s">
        <v>1357</v>
      </c>
      <c r="E1297" s="1544"/>
      <c r="F1297" s="1544"/>
      <c r="G1297" s="1544"/>
      <c r="H1297" s="1544"/>
      <c r="I1297" s="647"/>
      <c r="J1297" s="647"/>
      <c r="K1297" s="670"/>
      <c r="L1297" s="763" t="s">
        <v>456</v>
      </c>
      <c r="M1297" s="766">
        <f>VLOOKUP(J1301,C1308:P1367,6)</f>
        <v>11166.861875598033</v>
      </c>
      <c r="N1297" s="766">
        <f>VLOOKUP(J1301,C1308:P1367,7)</f>
        <v>11166.861875598033</v>
      </c>
      <c r="O1297" s="767">
        <f>+N1297-M1297</f>
        <v>0</v>
      </c>
      <c r="Q1297" s="670"/>
    </row>
    <row r="1298" spans="1:17" ht="13.5" thickBot="1">
      <c r="B1298" s="332"/>
      <c r="C1298" s="687"/>
      <c r="D1298" s="688"/>
      <c r="E1298" s="672"/>
      <c r="F1298" s="672"/>
      <c r="G1298" s="672"/>
      <c r="H1298" s="689"/>
      <c r="I1298" s="647"/>
      <c r="J1298" s="647"/>
      <c r="K1298" s="670"/>
      <c r="L1298" s="708" t="s">
        <v>457</v>
      </c>
      <c r="M1298" s="768">
        <f>+M1297-M1296</f>
        <v>11166.861875598033</v>
      </c>
      <c r="N1298" s="768">
        <f>+N1297-N1296</f>
        <v>11166.861875598033</v>
      </c>
      <c r="O1298" s="769">
        <f>+O1297-O1296</f>
        <v>0</v>
      </c>
      <c r="Q1298" s="670"/>
    </row>
    <row r="1299" spans="1:17" ht="13.5" thickBot="1">
      <c r="B1299" s="332"/>
      <c r="C1299" s="690"/>
      <c r="D1299" s="691"/>
      <c r="E1299" s="689"/>
      <c r="F1299" s="689"/>
      <c r="G1299" s="689"/>
      <c r="H1299" s="689"/>
      <c r="I1299" s="689"/>
      <c r="J1299" s="689"/>
      <c r="K1299" s="1378"/>
      <c r="L1299" s="689"/>
      <c r="M1299" s="689"/>
      <c r="N1299" s="689"/>
      <c r="O1299" s="689"/>
      <c r="P1299" s="577"/>
      <c r="Q1299" s="1378"/>
    </row>
    <row r="1300" spans="1:17" ht="13.5" thickBot="1">
      <c r="B1300" s="332"/>
      <c r="C1300" s="694" t="s">
        <v>294</v>
      </c>
      <c r="D1300" s="695"/>
      <c r="E1300" s="695"/>
      <c r="F1300" s="695"/>
      <c r="G1300" s="695"/>
      <c r="H1300" s="695"/>
      <c r="I1300" s="695"/>
      <c r="J1300" s="695"/>
      <c r="K1300" s="697"/>
      <c r="P1300" s="698"/>
      <c r="Q1300" s="697"/>
    </row>
    <row r="1301" spans="1:17" ht="15">
      <c r="A1301" s="693"/>
      <c r="B1301" s="332"/>
      <c r="C1301" s="700" t="s">
        <v>272</v>
      </c>
      <c r="D1301" s="1256">
        <v>93231.14</v>
      </c>
      <c r="E1301" s="656" t="s">
        <v>273</v>
      </c>
      <c r="H1301" s="701"/>
      <c r="I1301" s="701"/>
      <c r="J1301" s="702">
        <f>$J$95</f>
        <v>2020</v>
      </c>
      <c r="K1301" s="587"/>
      <c r="L1301" s="1545" t="s">
        <v>274</v>
      </c>
      <c r="M1301" s="1545"/>
      <c r="N1301" s="1545"/>
      <c r="O1301" s="1545"/>
      <c r="P1301" s="589"/>
      <c r="Q1301" s="587"/>
    </row>
    <row r="1302" spans="1:17">
      <c r="A1302" s="693"/>
      <c r="B1302" s="332"/>
      <c r="C1302" s="700" t="s">
        <v>275</v>
      </c>
      <c r="D1302" s="872">
        <v>2019</v>
      </c>
      <c r="E1302" s="700" t="s">
        <v>276</v>
      </c>
      <c r="F1302" s="701"/>
      <c r="G1302" s="701"/>
      <c r="I1302" s="332"/>
      <c r="J1302" s="875">
        <v>0</v>
      </c>
      <c r="K1302" s="703"/>
      <c r="L1302" s="670" t="s">
        <v>475</v>
      </c>
      <c r="P1302" s="589"/>
      <c r="Q1302" s="703"/>
    </row>
    <row r="1303" spans="1:17">
      <c r="A1303" s="693"/>
      <c r="B1303" s="332"/>
      <c r="C1303" s="700" t="s">
        <v>277</v>
      </c>
      <c r="D1303" s="1257">
        <v>2</v>
      </c>
      <c r="E1303" s="700" t="s">
        <v>278</v>
      </c>
      <c r="F1303" s="701"/>
      <c r="G1303" s="701"/>
      <c r="I1303" s="332"/>
      <c r="J1303" s="704">
        <f>$F$70</f>
        <v>0.1009634410531228</v>
      </c>
      <c r="K1303" s="705"/>
      <c r="L1303" s="541" t="str">
        <f>"          INPUT TRUE-UP ARR (WITH &amp; WITHOUT INCENTIVES) FROM EACH PRIOR YEAR"</f>
        <v xml:space="preserve">          INPUT TRUE-UP ARR (WITH &amp; WITHOUT INCENTIVES) FROM EACH PRIOR YEAR</v>
      </c>
      <c r="P1303" s="589"/>
      <c r="Q1303" s="705"/>
    </row>
    <row r="1304" spans="1:17">
      <c r="A1304" s="693"/>
      <c r="B1304" s="332"/>
      <c r="C1304" s="700" t="s">
        <v>279</v>
      </c>
      <c r="D1304" s="706">
        <f>H79</f>
        <v>46</v>
      </c>
      <c r="E1304" s="700" t="s">
        <v>280</v>
      </c>
      <c r="F1304" s="701"/>
      <c r="G1304" s="701"/>
      <c r="I1304" s="332"/>
      <c r="J1304" s="704">
        <f>IF(H1295="",J1303,$F$69)</f>
        <v>0.1009634410531228</v>
      </c>
      <c r="K1304" s="707"/>
      <c r="L1304" s="541" t="s">
        <v>362</v>
      </c>
      <c r="M1304" s="707"/>
      <c r="N1304" s="707"/>
      <c r="O1304" s="707"/>
      <c r="P1304" s="589"/>
      <c r="Q1304" s="707"/>
    </row>
    <row r="1305" spans="1:17" ht="13.5" thickBot="1">
      <c r="A1305" s="693"/>
      <c r="B1305" s="332"/>
      <c r="C1305" s="700" t="s">
        <v>281</v>
      </c>
      <c r="D1305" s="874" t="s">
        <v>974</v>
      </c>
      <c r="E1305" s="708" t="s">
        <v>282</v>
      </c>
      <c r="F1305" s="709"/>
      <c r="G1305" s="709"/>
      <c r="H1305" s="710"/>
      <c r="I1305" s="710"/>
      <c r="J1305" s="686">
        <f>IF(D1301=0,0,D1301/D1304)</f>
        <v>2026.7639130434782</v>
      </c>
      <c r="K1305" s="670"/>
      <c r="L1305" s="670" t="s">
        <v>363</v>
      </c>
      <c r="M1305" s="670"/>
      <c r="N1305" s="670"/>
      <c r="O1305" s="670"/>
      <c r="P1305" s="589"/>
      <c r="Q1305" s="670"/>
    </row>
    <row r="1306" spans="1:17" ht="38.25">
      <c r="A1306" s="1377"/>
      <c r="B1306" s="1377"/>
      <c r="C1306" s="711" t="s">
        <v>272</v>
      </c>
      <c r="D1306" s="712" t="s">
        <v>283</v>
      </c>
      <c r="E1306" s="713" t="s">
        <v>284</v>
      </c>
      <c r="F1306" s="712" t="s">
        <v>285</v>
      </c>
      <c r="G1306" s="712" t="s">
        <v>458</v>
      </c>
      <c r="H1306" s="713" t="s">
        <v>356</v>
      </c>
      <c r="I1306" s="714" t="s">
        <v>356</v>
      </c>
      <c r="J1306" s="711" t="s">
        <v>295</v>
      </c>
      <c r="K1306" s="715"/>
      <c r="L1306" s="713" t="s">
        <v>358</v>
      </c>
      <c r="M1306" s="713" t="s">
        <v>364</v>
      </c>
      <c r="N1306" s="713" t="s">
        <v>358</v>
      </c>
      <c r="O1306" s="713" t="s">
        <v>366</v>
      </c>
      <c r="P1306" s="713" t="s">
        <v>286</v>
      </c>
      <c r="Q1306" s="716"/>
    </row>
    <row r="1307" spans="1:17" ht="13.5" thickBot="1">
      <c r="B1307" s="332"/>
      <c r="C1307" s="717" t="s">
        <v>177</v>
      </c>
      <c r="D1307" s="718" t="s">
        <v>178</v>
      </c>
      <c r="E1307" s="717" t="s">
        <v>37</v>
      </c>
      <c r="F1307" s="718" t="s">
        <v>178</v>
      </c>
      <c r="G1307" s="718" t="s">
        <v>178</v>
      </c>
      <c r="H1307" s="719" t="s">
        <v>298</v>
      </c>
      <c r="I1307" s="720" t="s">
        <v>300</v>
      </c>
      <c r="J1307" s="721" t="s">
        <v>389</v>
      </c>
      <c r="K1307" s="722"/>
      <c r="L1307" s="719" t="s">
        <v>287</v>
      </c>
      <c r="M1307" s="719" t="s">
        <v>287</v>
      </c>
      <c r="N1307" s="719" t="s">
        <v>467</v>
      </c>
      <c r="O1307" s="719" t="s">
        <v>467</v>
      </c>
      <c r="P1307" s="719" t="s">
        <v>467</v>
      </c>
      <c r="Q1307" s="587"/>
    </row>
    <row r="1308" spans="1:17">
      <c r="B1308" s="332"/>
      <c r="C1308" s="723">
        <f>IF(D1302= "","-",D1302)</f>
        <v>2019</v>
      </c>
      <c r="D1308" s="1270">
        <f>+D1301</f>
        <v>93231.14</v>
      </c>
      <c r="E1308" s="724">
        <f>+J1305/12*(12-D1303)</f>
        <v>1688.9699275362318</v>
      </c>
      <c r="F1308" s="770">
        <f t="shared" ref="F1308:F1367" si="120">+D1308-E1308</f>
        <v>91542.170072463763</v>
      </c>
      <c r="G1308" s="674">
        <f t="shared" ref="G1308:G1367" si="121">+(D1308+F1308)/2</f>
        <v>92386.655036231881</v>
      </c>
      <c r="H1308" s="725">
        <f>+J1303*G1308+E1308</f>
        <v>11016.644527382021</v>
      </c>
      <c r="I1308" s="726">
        <f>+J1304*G1308+E1308</f>
        <v>11016.644527382021</v>
      </c>
      <c r="J1308" s="727">
        <f t="shared" ref="J1308:J1367" si="122">+I1308-H1308</f>
        <v>0</v>
      </c>
      <c r="K1308" s="727"/>
      <c r="L1308" s="728">
        <v>0</v>
      </c>
      <c r="M1308" s="771">
        <f t="shared" ref="M1308:M1367" si="123">IF(L1308&lt;&gt;0,+H1308-L1308,0)</f>
        <v>0</v>
      </c>
      <c r="N1308" s="728">
        <v>0</v>
      </c>
      <c r="O1308" s="771">
        <f t="shared" ref="O1308:O1367" si="124">IF(N1308&lt;&gt;0,+I1308-N1308,0)</f>
        <v>0</v>
      </c>
      <c r="P1308" s="771">
        <f t="shared" ref="P1308:P1367" si="125">+O1308-M1308</f>
        <v>0</v>
      </c>
      <c r="Q1308" s="675"/>
    </row>
    <row r="1309" spans="1:17">
      <c r="B1309" s="332"/>
      <c r="C1309" s="723">
        <f>IF(D1302="","-",+C1308+1)</f>
        <v>2020</v>
      </c>
      <c r="D1309" s="1453">
        <f t="shared" ref="D1309:D1367" si="126">F1308</f>
        <v>91542.170072463763</v>
      </c>
      <c r="E1309" s="730">
        <f>IF(D1309&gt;$J$1305,$J$1305,D1309)</f>
        <v>2026.7639130434782</v>
      </c>
      <c r="F1309" s="730">
        <f t="shared" si="120"/>
        <v>89515.406159420279</v>
      </c>
      <c r="G1309" s="674">
        <f t="shared" si="121"/>
        <v>90528.788115942021</v>
      </c>
      <c r="H1309" s="724">
        <f>+J1303*G1309+E1309</f>
        <v>11166.861875598033</v>
      </c>
      <c r="I1309" s="731">
        <f>+J1304*G1309+E1309</f>
        <v>11166.861875598033</v>
      </c>
      <c r="J1309" s="727">
        <f t="shared" si="122"/>
        <v>0</v>
      </c>
      <c r="K1309" s="727"/>
      <c r="L1309" s="732">
        <v>0</v>
      </c>
      <c r="M1309" s="727">
        <f t="shared" si="123"/>
        <v>0</v>
      </c>
      <c r="N1309" s="732">
        <v>0</v>
      </c>
      <c r="O1309" s="727">
        <f t="shared" si="124"/>
        <v>0</v>
      </c>
      <c r="P1309" s="727">
        <f t="shared" si="125"/>
        <v>0</v>
      </c>
      <c r="Q1309" s="675"/>
    </row>
    <row r="1310" spans="1:17">
      <c r="B1310" s="332"/>
      <c r="C1310" s="723">
        <f>IF(D1302="","-",+C1309+1)</f>
        <v>2021</v>
      </c>
      <c r="D1310" s="1270">
        <f t="shared" si="126"/>
        <v>89515.406159420279</v>
      </c>
      <c r="E1310" s="730">
        <f t="shared" ref="E1310:E1367" si="127">IF(D1310&gt;$J$1305,$J$1305,D1310)</f>
        <v>2026.7639130434782</v>
      </c>
      <c r="F1310" s="730">
        <f t="shared" si="120"/>
        <v>87488.642246376796</v>
      </c>
      <c r="G1310" s="674">
        <f t="shared" si="121"/>
        <v>88502.024202898538</v>
      </c>
      <c r="H1310" s="724">
        <f>+J1303*G1310+E1310</f>
        <v>10962.232816734871</v>
      </c>
      <c r="I1310" s="731">
        <f>+J1304*G1310+E1310</f>
        <v>10962.232816734871</v>
      </c>
      <c r="J1310" s="727">
        <f t="shared" si="122"/>
        <v>0</v>
      </c>
      <c r="K1310" s="727"/>
      <c r="L1310" s="732">
        <v>0</v>
      </c>
      <c r="M1310" s="727">
        <f t="shared" si="123"/>
        <v>0</v>
      </c>
      <c r="N1310" s="732">
        <v>0</v>
      </c>
      <c r="O1310" s="727">
        <f t="shared" si="124"/>
        <v>0</v>
      </c>
      <c r="P1310" s="727">
        <f t="shared" si="125"/>
        <v>0</v>
      </c>
      <c r="Q1310" s="675"/>
    </row>
    <row r="1311" spans="1:17">
      <c r="B1311" s="332"/>
      <c r="C1311" s="723">
        <f>IF(D1302="","-",+C1310+1)</f>
        <v>2022</v>
      </c>
      <c r="D1311" s="1270">
        <f t="shared" si="126"/>
        <v>87488.642246376796</v>
      </c>
      <c r="E1311" s="730">
        <f t="shared" si="127"/>
        <v>2026.7639130434782</v>
      </c>
      <c r="F1311" s="730">
        <f t="shared" si="120"/>
        <v>85461.878333333312</v>
      </c>
      <c r="G1311" s="674">
        <f t="shared" si="121"/>
        <v>86475.260289855054</v>
      </c>
      <c r="H1311" s="724">
        <f>+J1303*G1311+E1311</f>
        <v>10757.60375787171</v>
      </c>
      <c r="I1311" s="731">
        <f>+J1304*G1311+E1311</f>
        <v>10757.60375787171</v>
      </c>
      <c r="J1311" s="727">
        <f t="shared" si="122"/>
        <v>0</v>
      </c>
      <c r="K1311" s="727"/>
      <c r="L1311" s="732">
        <v>0</v>
      </c>
      <c r="M1311" s="727">
        <f t="shared" si="123"/>
        <v>0</v>
      </c>
      <c r="N1311" s="732">
        <v>0</v>
      </c>
      <c r="O1311" s="727">
        <f t="shared" si="124"/>
        <v>0</v>
      </c>
      <c r="P1311" s="727">
        <f t="shared" si="125"/>
        <v>0</v>
      </c>
      <c r="Q1311" s="675"/>
    </row>
    <row r="1312" spans="1:17">
      <c r="B1312" s="332"/>
      <c r="C1312" s="723">
        <f>IF(D1302="","-",+C1311+1)</f>
        <v>2023</v>
      </c>
      <c r="D1312" s="1270">
        <f t="shared" si="126"/>
        <v>85461.878333333312</v>
      </c>
      <c r="E1312" s="730">
        <f t="shared" si="127"/>
        <v>2026.7639130434782</v>
      </c>
      <c r="F1312" s="730">
        <f t="shared" si="120"/>
        <v>83435.114420289829</v>
      </c>
      <c r="G1312" s="674">
        <f t="shared" si="121"/>
        <v>84448.49637681157</v>
      </c>
      <c r="H1312" s="724">
        <f>+J1303*G1312+E1312</f>
        <v>10552.974699008548</v>
      </c>
      <c r="I1312" s="731">
        <f>+J1304*G1312+E1312</f>
        <v>10552.974699008548</v>
      </c>
      <c r="J1312" s="727">
        <f t="shared" si="122"/>
        <v>0</v>
      </c>
      <c r="K1312" s="727"/>
      <c r="L1312" s="732">
        <v>0</v>
      </c>
      <c r="M1312" s="727">
        <f t="shared" si="123"/>
        <v>0</v>
      </c>
      <c r="N1312" s="732">
        <v>0</v>
      </c>
      <c r="O1312" s="727">
        <f t="shared" si="124"/>
        <v>0</v>
      </c>
      <c r="P1312" s="727">
        <f t="shared" si="125"/>
        <v>0</v>
      </c>
      <c r="Q1312" s="675"/>
    </row>
    <row r="1313" spans="2:17">
      <c r="B1313" s="332"/>
      <c r="C1313" s="723">
        <f>IF(D1302="","-",+C1312+1)</f>
        <v>2024</v>
      </c>
      <c r="D1313" s="674">
        <f t="shared" si="126"/>
        <v>83435.114420289829</v>
      </c>
      <c r="E1313" s="730">
        <f t="shared" si="127"/>
        <v>2026.7639130434782</v>
      </c>
      <c r="F1313" s="730">
        <f t="shared" si="120"/>
        <v>81408.350507246345</v>
      </c>
      <c r="G1313" s="674">
        <f t="shared" si="121"/>
        <v>82421.732463768087</v>
      </c>
      <c r="H1313" s="724">
        <f>+J1303*G1313+E1313</f>
        <v>10348.345640145386</v>
      </c>
      <c r="I1313" s="731">
        <f>+J1304*G1313+E1313</f>
        <v>10348.345640145386</v>
      </c>
      <c r="J1313" s="727">
        <f t="shared" si="122"/>
        <v>0</v>
      </c>
      <c r="K1313" s="727"/>
      <c r="L1313" s="732">
        <v>0</v>
      </c>
      <c r="M1313" s="727">
        <f t="shared" si="123"/>
        <v>0</v>
      </c>
      <c r="N1313" s="732">
        <v>0</v>
      </c>
      <c r="O1313" s="727">
        <f t="shared" si="124"/>
        <v>0</v>
      </c>
      <c r="P1313" s="727">
        <f t="shared" si="125"/>
        <v>0</v>
      </c>
      <c r="Q1313" s="675"/>
    </row>
    <row r="1314" spans="2:17">
      <c r="B1314" s="332"/>
      <c r="C1314" s="723">
        <f>IF(D1302="","-",+C1313+1)</f>
        <v>2025</v>
      </c>
      <c r="D1314" s="674">
        <f t="shared" si="126"/>
        <v>81408.350507246345</v>
      </c>
      <c r="E1314" s="730">
        <f t="shared" si="127"/>
        <v>2026.7639130434782</v>
      </c>
      <c r="F1314" s="730">
        <f t="shared" si="120"/>
        <v>79381.586594202861</v>
      </c>
      <c r="G1314" s="674">
        <f t="shared" si="121"/>
        <v>80394.968550724603</v>
      </c>
      <c r="H1314" s="724">
        <f>+J1303*G1314+E1314</f>
        <v>10143.716581282224</v>
      </c>
      <c r="I1314" s="731">
        <f>+J1304*G1314+E1314</f>
        <v>10143.716581282224</v>
      </c>
      <c r="J1314" s="727">
        <f t="shared" si="122"/>
        <v>0</v>
      </c>
      <c r="K1314" s="727"/>
      <c r="L1314" s="732">
        <v>0</v>
      </c>
      <c r="M1314" s="727">
        <f t="shared" si="123"/>
        <v>0</v>
      </c>
      <c r="N1314" s="732">
        <v>0</v>
      </c>
      <c r="O1314" s="727">
        <f t="shared" si="124"/>
        <v>0</v>
      </c>
      <c r="P1314" s="727">
        <f t="shared" si="125"/>
        <v>0</v>
      </c>
      <c r="Q1314" s="675"/>
    </row>
    <row r="1315" spans="2:17">
      <c r="B1315" s="332"/>
      <c r="C1315" s="723">
        <f>IF(D1302="","-",+C1314+1)</f>
        <v>2026</v>
      </c>
      <c r="D1315" s="674">
        <f t="shared" si="126"/>
        <v>79381.586594202861</v>
      </c>
      <c r="E1315" s="730">
        <f t="shared" si="127"/>
        <v>2026.7639130434782</v>
      </c>
      <c r="F1315" s="730">
        <f t="shared" si="120"/>
        <v>77354.822681159378</v>
      </c>
      <c r="G1315" s="674">
        <f t="shared" si="121"/>
        <v>78368.204637681119</v>
      </c>
      <c r="H1315" s="724">
        <f>+J1303*G1315+E1315</f>
        <v>9939.0875224190604</v>
      </c>
      <c r="I1315" s="731">
        <f>+J1304*G1315+E1315</f>
        <v>9939.0875224190604</v>
      </c>
      <c r="J1315" s="727">
        <f t="shared" si="122"/>
        <v>0</v>
      </c>
      <c r="K1315" s="727"/>
      <c r="L1315" s="732">
        <v>0</v>
      </c>
      <c r="M1315" s="727">
        <f t="shared" si="123"/>
        <v>0</v>
      </c>
      <c r="N1315" s="732">
        <v>0</v>
      </c>
      <c r="O1315" s="727">
        <f t="shared" si="124"/>
        <v>0</v>
      </c>
      <c r="P1315" s="727">
        <f t="shared" si="125"/>
        <v>0</v>
      </c>
      <c r="Q1315" s="675"/>
    </row>
    <row r="1316" spans="2:17">
      <c r="B1316" s="332"/>
      <c r="C1316" s="723">
        <f>IF(D1302="","-",+C1315+1)</f>
        <v>2027</v>
      </c>
      <c r="D1316" s="674">
        <f t="shared" si="126"/>
        <v>77354.822681159378</v>
      </c>
      <c r="E1316" s="730">
        <f t="shared" si="127"/>
        <v>2026.7639130434782</v>
      </c>
      <c r="F1316" s="730">
        <f t="shared" si="120"/>
        <v>75328.058768115894</v>
      </c>
      <c r="G1316" s="674">
        <f t="shared" si="121"/>
        <v>76341.440724637636</v>
      </c>
      <c r="H1316" s="724">
        <f>+J1303*G1316+E1316</f>
        <v>9734.4584635558986</v>
      </c>
      <c r="I1316" s="731">
        <f>+J1304*G1316+E1316</f>
        <v>9734.4584635558986</v>
      </c>
      <c r="J1316" s="727">
        <f t="shared" si="122"/>
        <v>0</v>
      </c>
      <c r="K1316" s="727"/>
      <c r="L1316" s="732">
        <v>0</v>
      </c>
      <c r="M1316" s="727">
        <f t="shared" si="123"/>
        <v>0</v>
      </c>
      <c r="N1316" s="732">
        <v>0</v>
      </c>
      <c r="O1316" s="727">
        <f t="shared" si="124"/>
        <v>0</v>
      </c>
      <c r="P1316" s="727">
        <f t="shared" si="125"/>
        <v>0</v>
      </c>
      <c r="Q1316" s="675"/>
    </row>
    <row r="1317" spans="2:17">
      <c r="B1317" s="332"/>
      <c r="C1317" s="723">
        <f>IF(D1302="","-",+C1316+1)</f>
        <v>2028</v>
      </c>
      <c r="D1317" s="674">
        <f t="shared" si="126"/>
        <v>75328.058768115894</v>
      </c>
      <c r="E1317" s="730">
        <f t="shared" si="127"/>
        <v>2026.7639130434782</v>
      </c>
      <c r="F1317" s="730">
        <f t="shared" si="120"/>
        <v>73301.29485507241</v>
      </c>
      <c r="G1317" s="674">
        <f t="shared" si="121"/>
        <v>74314.676811594152</v>
      </c>
      <c r="H1317" s="724">
        <f>+J1303*G1317+E1317</f>
        <v>9529.8294046927367</v>
      </c>
      <c r="I1317" s="731">
        <f>+J1304*G1317+E1317</f>
        <v>9529.8294046927367</v>
      </c>
      <c r="J1317" s="727">
        <f t="shared" si="122"/>
        <v>0</v>
      </c>
      <c r="K1317" s="727"/>
      <c r="L1317" s="732">
        <v>0</v>
      </c>
      <c r="M1317" s="727">
        <f t="shared" si="123"/>
        <v>0</v>
      </c>
      <c r="N1317" s="732">
        <v>0</v>
      </c>
      <c r="O1317" s="727">
        <f t="shared" si="124"/>
        <v>0</v>
      </c>
      <c r="P1317" s="727">
        <f t="shared" si="125"/>
        <v>0</v>
      </c>
      <c r="Q1317" s="675"/>
    </row>
    <row r="1318" spans="2:17">
      <c r="B1318" s="332"/>
      <c r="C1318" s="723">
        <f>IF(D1302="","-",+C1317+1)</f>
        <v>2029</v>
      </c>
      <c r="D1318" s="674">
        <f t="shared" si="126"/>
        <v>73301.29485507241</v>
      </c>
      <c r="E1318" s="730">
        <f t="shared" si="127"/>
        <v>2026.7639130434782</v>
      </c>
      <c r="F1318" s="730">
        <f t="shared" si="120"/>
        <v>71274.530942028927</v>
      </c>
      <c r="G1318" s="674">
        <f t="shared" si="121"/>
        <v>72287.912898550669</v>
      </c>
      <c r="H1318" s="724">
        <f>+J1303*G1318+E1318</f>
        <v>9325.2003458295731</v>
      </c>
      <c r="I1318" s="731">
        <f>+J1304*G1318+E1318</f>
        <v>9325.2003458295731</v>
      </c>
      <c r="J1318" s="727">
        <f t="shared" si="122"/>
        <v>0</v>
      </c>
      <c r="K1318" s="727"/>
      <c r="L1318" s="732">
        <v>0</v>
      </c>
      <c r="M1318" s="727">
        <f t="shared" si="123"/>
        <v>0</v>
      </c>
      <c r="N1318" s="732">
        <v>0</v>
      </c>
      <c r="O1318" s="727">
        <f t="shared" si="124"/>
        <v>0</v>
      </c>
      <c r="P1318" s="727">
        <f t="shared" si="125"/>
        <v>0</v>
      </c>
      <c r="Q1318" s="675"/>
    </row>
    <row r="1319" spans="2:17">
      <c r="B1319" s="332"/>
      <c r="C1319" s="723">
        <f>IF(D1302="","-",+C1318+1)</f>
        <v>2030</v>
      </c>
      <c r="D1319" s="674">
        <f t="shared" si="126"/>
        <v>71274.530942028927</v>
      </c>
      <c r="E1319" s="730">
        <f t="shared" si="127"/>
        <v>2026.7639130434782</v>
      </c>
      <c r="F1319" s="730">
        <f t="shared" si="120"/>
        <v>69247.767028985443</v>
      </c>
      <c r="G1319" s="674">
        <f t="shared" si="121"/>
        <v>70261.148985507185</v>
      </c>
      <c r="H1319" s="724">
        <f>+J1303*G1319+E1319</f>
        <v>9120.5712869664112</v>
      </c>
      <c r="I1319" s="731">
        <f>+J1304*G1319+E1319</f>
        <v>9120.5712869664112</v>
      </c>
      <c r="J1319" s="727">
        <f t="shared" si="122"/>
        <v>0</v>
      </c>
      <c r="K1319" s="727"/>
      <c r="L1319" s="732"/>
      <c r="M1319" s="727">
        <f t="shared" si="123"/>
        <v>0</v>
      </c>
      <c r="N1319" s="732"/>
      <c r="O1319" s="727">
        <f t="shared" si="124"/>
        <v>0</v>
      </c>
      <c r="P1319" s="727">
        <f t="shared" si="125"/>
        <v>0</v>
      </c>
      <c r="Q1319" s="675"/>
    </row>
    <row r="1320" spans="2:17">
      <c r="B1320" s="332"/>
      <c r="C1320" s="723">
        <f>IF(D1302="","-",+C1319+1)</f>
        <v>2031</v>
      </c>
      <c r="D1320" s="674">
        <f t="shared" si="126"/>
        <v>69247.767028985443</v>
      </c>
      <c r="E1320" s="730">
        <f t="shared" si="127"/>
        <v>2026.7639130434782</v>
      </c>
      <c r="F1320" s="730">
        <f t="shared" si="120"/>
        <v>67221.00311594196</v>
      </c>
      <c r="G1320" s="674">
        <f t="shared" si="121"/>
        <v>68234.385072463701</v>
      </c>
      <c r="H1320" s="724">
        <f>+J1303*G1320+E1320</f>
        <v>8915.9422281032494</v>
      </c>
      <c r="I1320" s="731">
        <f>+J1304*G1320+E1320</f>
        <v>8915.9422281032494</v>
      </c>
      <c r="J1320" s="727">
        <f t="shared" si="122"/>
        <v>0</v>
      </c>
      <c r="K1320" s="727"/>
      <c r="L1320" s="732"/>
      <c r="M1320" s="727">
        <f t="shared" si="123"/>
        <v>0</v>
      </c>
      <c r="N1320" s="732"/>
      <c r="O1320" s="727">
        <f t="shared" si="124"/>
        <v>0</v>
      </c>
      <c r="P1320" s="727">
        <f t="shared" si="125"/>
        <v>0</v>
      </c>
      <c r="Q1320" s="675"/>
    </row>
    <row r="1321" spans="2:17">
      <c r="B1321" s="332"/>
      <c r="C1321" s="723">
        <f>IF(D1302="","-",+C1320+1)</f>
        <v>2032</v>
      </c>
      <c r="D1321" s="674">
        <f t="shared" si="126"/>
        <v>67221.00311594196</v>
      </c>
      <c r="E1321" s="730">
        <f t="shared" si="127"/>
        <v>2026.7639130434782</v>
      </c>
      <c r="F1321" s="730">
        <f t="shared" si="120"/>
        <v>65194.239202898483</v>
      </c>
      <c r="G1321" s="674">
        <f t="shared" si="121"/>
        <v>66207.621159420218</v>
      </c>
      <c r="H1321" s="724">
        <f>+J1303*G1321+E1321</f>
        <v>8711.3131692400857</v>
      </c>
      <c r="I1321" s="731">
        <f>+J1304*G1321+E1321</f>
        <v>8711.3131692400857</v>
      </c>
      <c r="J1321" s="727">
        <f t="shared" si="122"/>
        <v>0</v>
      </c>
      <c r="K1321" s="727"/>
      <c r="L1321" s="732"/>
      <c r="M1321" s="727">
        <f t="shared" si="123"/>
        <v>0</v>
      </c>
      <c r="N1321" s="732"/>
      <c r="O1321" s="727">
        <f t="shared" si="124"/>
        <v>0</v>
      </c>
      <c r="P1321" s="727">
        <f t="shared" si="125"/>
        <v>0</v>
      </c>
      <c r="Q1321" s="675"/>
    </row>
    <row r="1322" spans="2:17">
      <c r="B1322" s="332"/>
      <c r="C1322" s="723">
        <f>IF(D1302="","-",+C1321+1)</f>
        <v>2033</v>
      </c>
      <c r="D1322" s="674">
        <f t="shared" si="126"/>
        <v>65194.239202898483</v>
      </c>
      <c r="E1322" s="730">
        <f t="shared" si="127"/>
        <v>2026.7639130434782</v>
      </c>
      <c r="F1322" s="730">
        <f t="shared" si="120"/>
        <v>63167.475289855007</v>
      </c>
      <c r="G1322" s="674">
        <f t="shared" si="121"/>
        <v>64180.857246376749</v>
      </c>
      <c r="H1322" s="724">
        <f>+J1303*G1322+E1322</f>
        <v>8506.6841103769257</v>
      </c>
      <c r="I1322" s="731">
        <f>+J1304*G1322+E1322</f>
        <v>8506.6841103769257</v>
      </c>
      <c r="J1322" s="727">
        <f t="shared" si="122"/>
        <v>0</v>
      </c>
      <c r="K1322" s="727"/>
      <c r="L1322" s="732"/>
      <c r="M1322" s="727">
        <f t="shared" si="123"/>
        <v>0</v>
      </c>
      <c r="N1322" s="732"/>
      <c r="O1322" s="727">
        <f t="shared" si="124"/>
        <v>0</v>
      </c>
      <c r="P1322" s="727">
        <f t="shared" si="125"/>
        <v>0</v>
      </c>
      <c r="Q1322" s="675"/>
    </row>
    <row r="1323" spans="2:17">
      <c r="B1323" s="332"/>
      <c r="C1323" s="723">
        <f>IF(D1302="","-",+C1322+1)</f>
        <v>2034</v>
      </c>
      <c r="D1323" s="674">
        <f t="shared" si="126"/>
        <v>63167.475289855007</v>
      </c>
      <c r="E1323" s="730">
        <f t="shared" si="127"/>
        <v>2026.7639130434782</v>
      </c>
      <c r="F1323" s="730">
        <f t="shared" si="120"/>
        <v>61140.71137681153</v>
      </c>
      <c r="G1323" s="674">
        <f t="shared" si="121"/>
        <v>62154.093333333265</v>
      </c>
      <c r="H1323" s="724">
        <f>+J1303*G1323+E1323</f>
        <v>8302.0550515137638</v>
      </c>
      <c r="I1323" s="731">
        <f>+J1304*G1323+E1323</f>
        <v>8302.0550515137638</v>
      </c>
      <c r="J1323" s="727">
        <f t="shared" si="122"/>
        <v>0</v>
      </c>
      <c r="K1323" s="727"/>
      <c r="L1323" s="732"/>
      <c r="M1323" s="727">
        <f t="shared" si="123"/>
        <v>0</v>
      </c>
      <c r="N1323" s="732"/>
      <c r="O1323" s="727">
        <f t="shared" si="124"/>
        <v>0</v>
      </c>
      <c r="P1323" s="727">
        <f t="shared" si="125"/>
        <v>0</v>
      </c>
      <c r="Q1323" s="675"/>
    </row>
    <row r="1324" spans="2:17">
      <c r="B1324" s="332"/>
      <c r="C1324" s="723">
        <f>IF(D1302="","-",+C1323+1)</f>
        <v>2035</v>
      </c>
      <c r="D1324" s="674">
        <f t="shared" si="126"/>
        <v>61140.71137681153</v>
      </c>
      <c r="E1324" s="730">
        <f t="shared" si="127"/>
        <v>2026.7639130434782</v>
      </c>
      <c r="F1324" s="730">
        <f t="shared" si="120"/>
        <v>59113.947463768054</v>
      </c>
      <c r="G1324" s="674">
        <f t="shared" si="121"/>
        <v>60127.329420289796</v>
      </c>
      <c r="H1324" s="724">
        <f>+J1303*G1324+E1324</f>
        <v>8097.4259926506029</v>
      </c>
      <c r="I1324" s="731">
        <f>+J1304*G1324+E1324</f>
        <v>8097.4259926506029</v>
      </c>
      <c r="J1324" s="727">
        <f t="shared" si="122"/>
        <v>0</v>
      </c>
      <c r="K1324" s="727"/>
      <c r="L1324" s="732"/>
      <c r="M1324" s="727">
        <f t="shared" si="123"/>
        <v>0</v>
      </c>
      <c r="N1324" s="732"/>
      <c r="O1324" s="727">
        <f t="shared" si="124"/>
        <v>0</v>
      </c>
      <c r="P1324" s="727">
        <f t="shared" si="125"/>
        <v>0</v>
      </c>
      <c r="Q1324" s="675"/>
    </row>
    <row r="1325" spans="2:17">
      <c r="B1325" s="332"/>
      <c r="C1325" s="723">
        <f>IF(D1302="","-",+C1324+1)</f>
        <v>2036</v>
      </c>
      <c r="D1325" s="674">
        <f t="shared" si="126"/>
        <v>59113.947463768054</v>
      </c>
      <c r="E1325" s="730">
        <f t="shared" si="127"/>
        <v>2026.7639130434782</v>
      </c>
      <c r="F1325" s="730">
        <f t="shared" si="120"/>
        <v>57087.183550724578</v>
      </c>
      <c r="G1325" s="674">
        <f t="shared" si="121"/>
        <v>58100.565507246312</v>
      </c>
      <c r="H1325" s="724">
        <f>+J1303*G1325+E1325</f>
        <v>7892.796933787441</v>
      </c>
      <c r="I1325" s="731">
        <f>+J1304*G1325+E1325</f>
        <v>7892.796933787441</v>
      </c>
      <c r="J1325" s="727">
        <f t="shared" si="122"/>
        <v>0</v>
      </c>
      <c r="K1325" s="727"/>
      <c r="L1325" s="732"/>
      <c r="M1325" s="727">
        <f t="shared" si="123"/>
        <v>0</v>
      </c>
      <c r="N1325" s="732"/>
      <c r="O1325" s="727">
        <f t="shared" si="124"/>
        <v>0</v>
      </c>
      <c r="P1325" s="727">
        <f t="shared" si="125"/>
        <v>0</v>
      </c>
      <c r="Q1325" s="675"/>
    </row>
    <row r="1326" spans="2:17">
      <c r="B1326" s="332"/>
      <c r="C1326" s="723">
        <f>IF(D1302="","-",+C1325+1)</f>
        <v>2037</v>
      </c>
      <c r="D1326" s="674">
        <f t="shared" si="126"/>
        <v>57087.183550724578</v>
      </c>
      <c r="E1326" s="730">
        <f t="shared" si="127"/>
        <v>2026.7639130434782</v>
      </c>
      <c r="F1326" s="730">
        <f t="shared" si="120"/>
        <v>55060.419637681101</v>
      </c>
      <c r="G1326" s="674">
        <f t="shared" si="121"/>
        <v>56073.801594202843</v>
      </c>
      <c r="H1326" s="724">
        <f>+J1303*G1326+E1326</f>
        <v>7688.1678749242801</v>
      </c>
      <c r="I1326" s="731">
        <f>+J1304*G1326+E1326</f>
        <v>7688.1678749242801</v>
      </c>
      <c r="J1326" s="727">
        <f t="shared" si="122"/>
        <v>0</v>
      </c>
      <c r="K1326" s="727"/>
      <c r="L1326" s="732"/>
      <c r="M1326" s="727">
        <f t="shared" si="123"/>
        <v>0</v>
      </c>
      <c r="N1326" s="732"/>
      <c r="O1326" s="727">
        <f t="shared" si="124"/>
        <v>0</v>
      </c>
      <c r="P1326" s="727">
        <f t="shared" si="125"/>
        <v>0</v>
      </c>
      <c r="Q1326" s="675"/>
    </row>
    <row r="1327" spans="2:17">
      <c r="B1327" s="332"/>
      <c r="C1327" s="723">
        <f>IF(D1302="","-",+C1326+1)</f>
        <v>2038</v>
      </c>
      <c r="D1327" s="674">
        <f t="shared" si="126"/>
        <v>55060.419637681101</v>
      </c>
      <c r="E1327" s="730">
        <f t="shared" si="127"/>
        <v>2026.7639130434782</v>
      </c>
      <c r="F1327" s="730">
        <f t="shared" si="120"/>
        <v>53033.655724637625</v>
      </c>
      <c r="G1327" s="674">
        <f t="shared" si="121"/>
        <v>54047.03768115936</v>
      </c>
      <c r="H1327" s="724">
        <f>+J1303*G1327+E1327</f>
        <v>7483.5388160611183</v>
      </c>
      <c r="I1327" s="731">
        <f>+J1304*G1327+E1327</f>
        <v>7483.5388160611183</v>
      </c>
      <c r="J1327" s="727">
        <f t="shared" si="122"/>
        <v>0</v>
      </c>
      <c r="K1327" s="727"/>
      <c r="L1327" s="732"/>
      <c r="M1327" s="727">
        <f t="shared" si="123"/>
        <v>0</v>
      </c>
      <c r="N1327" s="732"/>
      <c r="O1327" s="727">
        <f t="shared" si="124"/>
        <v>0</v>
      </c>
      <c r="P1327" s="727">
        <f t="shared" si="125"/>
        <v>0</v>
      </c>
      <c r="Q1327" s="675"/>
    </row>
    <row r="1328" spans="2:17">
      <c r="B1328" s="332"/>
      <c r="C1328" s="723">
        <f>IF(D1302="","-",+C1327+1)</f>
        <v>2039</v>
      </c>
      <c r="D1328" s="674">
        <f t="shared" si="126"/>
        <v>53033.655724637625</v>
      </c>
      <c r="E1328" s="730">
        <f t="shared" si="127"/>
        <v>2026.7639130434782</v>
      </c>
      <c r="F1328" s="730">
        <f t="shared" si="120"/>
        <v>51006.891811594149</v>
      </c>
      <c r="G1328" s="674">
        <f t="shared" si="121"/>
        <v>52020.273768115891</v>
      </c>
      <c r="H1328" s="724">
        <f>+J1303*G1328+E1328</f>
        <v>7278.9097571979573</v>
      </c>
      <c r="I1328" s="731">
        <f>+J1304*G1328+E1328</f>
        <v>7278.9097571979573</v>
      </c>
      <c r="J1328" s="727">
        <f t="shared" si="122"/>
        <v>0</v>
      </c>
      <c r="K1328" s="727"/>
      <c r="L1328" s="732"/>
      <c r="M1328" s="727">
        <f t="shared" si="123"/>
        <v>0</v>
      </c>
      <c r="N1328" s="732"/>
      <c r="O1328" s="727">
        <f t="shared" si="124"/>
        <v>0</v>
      </c>
      <c r="P1328" s="727">
        <f t="shared" si="125"/>
        <v>0</v>
      </c>
      <c r="Q1328" s="675"/>
    </row>
    <row r="1329" spans="2:17">
      <c r="B1329" s="332"/>
      <c r="C1329" s="723">
        <f>IF(D1302="","-",+C1328+1)</f>
        <v>2040</v>
      </c>
      <c r="D1329" s="674">
        <f t="shared" si="126"/>
        <v>51006.891811594149</v>
      </c>
      <c r="E1329" s="730">
        <f t="shared" si="127"/>
        <v>2026.7639130434782</v>
      </c>
      <c r="F1329" s="730">
        <f t="shared" si="120"/>
        <v>48980.127898550672</v>
      </c>
      <c r="G1329" s="674">
        <f t="shared" si="121"/>
        <v>49993.509855072407</v>
      </c>
      <c r="H1329" s="724">
        <f>+J1303*G1329+E1329</f>
        <v>7074.2806983347946</v>
      </c>
      <c r="I1329" s="731">
        <f>+J1304*G1329+E1329</f>
        <v>7074.2806983347946</v>
      </c>
      <c r="J1329" s="727">
        <f t="shared" si="122"/>
        <v>0</v>
      </c>
      <c r="K1329" s="727"/>
      <c r="L1329" s="732"/>
      <c r="M1329" s="727">
        <f t="shared" si="123"/>
        <v>0</v>
      </c>
      <c r="N1329" s="732"/>
      <c r="O1329" s="727">
        <f t="shared" si="124"/>
        <v>0</v>
      </c>
      <c r="P1329" s="727">
        <f t="shared" si="125"/>
        <v>0</v>
      </c>
      <c r="Q1329" s="675"/>
    </row>
    <row r="1330" spans="2:17">
      <c r="B1330" s="332"/>
      <c r="C1330" s="723">
        <f>IF(D1302="","-",+C1329+1)</f>
        <v>2041</v>
      </c>
      <c r="D1330" s="674">
        <f t="shared" si="126"/>
        <v>48980.127898550672</v>
      </c>
      <c r="E1330" s="730">
        <f t="shared" si="127"/>
        <v>2026.7639130434782</v>
      </c>
      <c r="F1330" s="730">
        <f t="shared" si="120"/>
        <v>46953.363985507196</v>
      </c>
      <c r="G1330" s="674">
        <f t="shared" si="121"/>
        <v>47966.745942028938</v>
      </c>
      <c r="H1330" s="724">
        <f>+J1303*G1330+E1330</f>
        <v>6869.6516394716336</v>
      </c>
      <c r="I1330" s="731">
        <f>+J1304*G1330+E1330</f>
        <v>6869.6516394716336</v>
      </c>
      <c r="J1330" s="727">
        <f t="shared" si="122"/>
        <v>0</v>
      </c>
      <c r="K1330" s="727"/>
      <c r="L1330" s="732"/>
      <c r="M1330" s="727">
        <f t="shared" si="123"/>
        <v>0</v>
      </c>
      <c r="N1330" s="732"/>
      <c r="O1330" s="727">
        <f t="shared" si="124"/>
        <v>0</v>
      </c>
      <c r="P1330" s="727">
        <f t="shared" si="125"/>
        <v>0</v>
      </c>
      <c r="Q1330" s="675"/>
    </row>
    <row r="1331" spans="2:17">
      <c r="B1331" s="332"/>
      <c r="C1331" s="723">
        <f>IF(D1302="","-",+C1330+1)</f>
        <v>2042</v>
      </c>
      <c r="D1331" s="674">
        <f t="shared" si="126"/>
        <v>46953.363985507196</v>
      </c>
      <c r="E1331" s="730">
        <f t="shared" si="127"/>
        <v>2026.7639130434782</v>
      </c>
      <c r="F1331" s="730">
        <f t="shared" si="120"/>
        <v>44926.60007246372</v>
      </c>
      <c r="G1331" s="674">
        <f t="shared" si="121"/>
        <v>45939.982028985454</v>
      </c>
      <c r="H1331" s="724">
        <f>+J1303*G1331+E1331</f>
        <v>6665.0225806084718</v>
      </c>
      <c r="I1331" s="731">
        <f>+J1304*G1331+E1331</f>
        <v>6665.0225806084718</v>
      </c>
      <c r="J1331" s="727">
        <f t="shared" si="122"/>
        <v>0</v>
      </c>
      <c r="K1331" s="727"/>
      <c r="L1331" s="732"/>
      <c r="M1331" s="727">
        <f t="shared" si="123"/>
        <v>0</v>
      </c>
      <c r="N1331" s="732"/>
      <c r="O1331" s="727">
        <f t="shared" si="124"/>
        <v>0</v>
      </c>
      <c r="P1331" s="727">
        <f t="shared" si="125"/>
        <v>0</v>
      </c>
      <c r="Q1331" s="675"/>
    </row>
    <row r="1332" spans="2:17">
      <c r="B1332" s="332"/>
      <c r="C1332" s="723">
        <f>IF(D1302="","-",+C1331+1)</f>
        <v>2043</v>
      </c>
      <c r="D1332" s="674">
        <f t="shared" si="126"/>
        <v>44926.60007246372</v>
      </c>
      <c r="E1332" s="730">
        <f t="shared" si="127"/>
        <v>2026.7639130434782</v>
      </c>
      <c r="F1332" s="730">
        <f t="shared" si="120"/>
        <v>42899.836159420243</v>
      </c>
      <c r="G1332" s="674">
        <f t="shared" si="121"/>
        <v>43913.218115941985</v>
      </c>
      <c r="H1332" s="724">
        <f>+J1303*G1332+E1332</f>
        <v>6460.3935217453109</v>
      </c>
      <c r="I1332" s="731">
        <f>+J1304*G1332+E1332</f>
        <v>6460.3935217453109</v>
      </c>
      <c r="J1332" s="727">
        <f t="shared" si="122"/>
        <v>0</v>
      </c>
      <c r="K1332" s="727"/>
      <c r="L1332" s="732"/>
      <c r="M1332" s="727">
        <f t="shared" si="123"/>
        <v>0</v>
      </c>
      <c r="N1332" s="732"/>
      <c r="O1332" s="727">
        <f t="shared" si="124"/>
        <v>0</v>
      </c>
      <c r="P1332" s="727">
        <f t="shared" si="125"/>
        <v>0</v>
      </c>
      <c r="Q1332" s="675"/>
    </row>
    <row r="1333" spans="2:17">
      <c r="B1333" s="332"/>
      <c r="C1333" s="723">
        <f>IF(D1302="","-",+C1332+1)</f>
        <v>2044</v>
      </c>
      <c r="D1333" s="674">
        <f t="shared" si="126"/>
        <v>42899.836159420243</v>
      </c>
      <c r="E1333" s="730">
        <f t="shared" si="127"/>
        <v>2026.7639130434782</v>
      </c>
      <c r="F1333" s="730">
        <f t="shared" si="120"/>
        <v>40873.072246376767</v>
      </c>
      <c r="G1333" s="674">
        <f t="shared" si="121"/>
        <v>41886.454202898502</v>
      </c>
      <c r="H1333" s="724">
        <f>+J1303*G1333+E1333</f>
        <v>6255.764462882149</v>
      </c>
      <c r="I1333" s="731">
        <f>+J1304*G1333+E1333</f>
        <v>6255.764462882149</v>
      </c>
      <c r="J1333" s="727">
        <f t="shared" si="122"/>
        <v>0</v>
      </c>
      <c r="K1333" s="727"/>
      <c r="L1333" s="732"/>
      <c r="M1333" s="727">
        <f t="shared" si="123"/>
        <v>0</v>
      </c>
      <c r="N1333" s="732"/>
      <c r="O1333" s="727">
        <f t="shared" si="124"/>
        <v>0</v>
      </c>
      <c r="P1333" s="727">
        <f t="shared" si="125"/>
        <v>0</v>
      </c>
      <c r="Q1333" s="675"/>
    </row>
    <row r="1334" spans="2:17">
      <c r="B1334" s="332"/>
      <c r="C1334" s="723">
        <f>IF(D1302="","-",+C1333+1)</f>
        <v>2045</v>
      </c>
      <c r="D1334" s="674">
        <f t="shared" si="126"/>
        <v>40873.072246376767</v>
      </c>
      <c r="E1334" s="730">
        <f t="shared" si="127"/>
        <v>2026.7639130434782</v>
      </c>
      <c r="F1334" s="730">
        <f t="shared" si="120"/>
        <v>38846.308333333291</v>
      </c>
      <c r="G1334" s="674">
        <f t="shared" si="121"/>
        <v>39859.690289855032</v>
      </c>
      <c r="H1334" s="724">
        <f>+J1303*G1334+E1334</f>
        <v>6051.1354040189881</v>
      </c>
      <c r="I1334" s="731">
        <f>+J1304*G1334+E1334</f>
        <v>6051.1354040189881</v>
      </c>
      <c r="J1334" s="727">
        <f t="shared" si="122"/>
        <v>0</v>
      </c>
      <c r="K1334" s="727"/>
      <c r="L1334" s="732"/>
      <c r="M1334" s="727">
        <f t="shared" si="123"/>
        <v>0</v>
      </c>
      <c r="N1334" s="732"/>
      <c r="O1334" s="727">
        <f t="shared" si="124"/>
        <v>0</v>
      </c>
      <c r="P1334" s="727">
        <f t="shared" si="125"/>
        <v>0</v>
      </c>
      <c r="Q1334" s="675"/>
    </row>
    <row r="1335" spans="2:17">
      <c r="B1335" s="332"/>
      <c r="C1335" s="723">
        <f>IF(D1302="","-",+C1334+1)</f>
        <v>2046</v>
      </c>
      <c r="D1335" s="674">
        <f t="shared" si="126"/>
        <v>38846.308333333291</v>
      </c>
      <c r="E1335" s="730">
        <f t="shared" si="127"/>
        <v>2026.7639130434782</v>
      </c>
      <c r="F1335" s="730">
        <f t="shared" si="120"/>
        <v>36819.544420289814</v>
      </c>
      <c r="G1335" s="674">
        <f t="shared" si="121"/>
        <v>37832.926376811549</v>
      </c>
      <c r="H1335" s="724">
        <f>+J1303*G1335+E1335</f>
        <v>5846.5063451558253</v>
      </c>
      <c r="I1335" s="731">
        <f>+J1304*G1335+E1335</f>
        <v>5846.5063451558253</v>
      </c>
      <c r="J1335" s="727">
        <f t="shared" si="122"/>
        <v>0</v>
      </c>
      <c r="K1335" s="727"/>
      <c r="L1335" s="732"/>
      <c r="M1335" s="727">
        <f t="shared" si="123"/>
        <v>0</v>
      </c>
      <c r="N1335" s="732"/>
      <c r="O1335" s="727">
        <f t="shared" si="124"/>
        <v>0</v>
      </c>
      <c r="P1335" s="727">
        <f t="shared" si="125"/>
        <v>0</v>
      </c>
      <c r="Q1335" s="675"/>
    </row>
    <row r="1336" spans="2:17">
      <c r="B1336" s="332"/>
      <c r="C1336" s="723">
        <f>IF(D1302="","-",+C1335+1)</f>
        <v>2047</v>
      </c>
      <c r="D1336" s="674">
        <f t="shared" si="126"/>
        <v>36819.544420289814</v>
      </c>
      <c r="E1336" s="730">
        <f t="shared" si="127"/>
        <v>2026.7639130434782</v>
      </c>
      <c r="F1336" s="730">
        <f t="shared" si="120"/>
        <v>34792.780507246338</v>
      </c>
      <c r="G1336" s="674">
        <f t="shared" si="121"/>
        <v>35806.16246376808</v>
      </c>
      <c r="H1336" s="724">
        <f>+J1303*G1336+E1336</f>
        <v>5641.8772862926653</v>
      </c>
      <c r="I1336" s="731">
        <f>+J1304*G1336+E1336</f>
        <v>5641.8772862926653</v>
      </c>
      <c r="J1336" s="727">
        <f t="shared" si="122"/>
        <v>0</v>
      </c>
      <c r="K1336" s="727"/>
      <c r="L1336" s="732"/>
      <c r="M1336" s="727">
        <f t="shared" si="123"/>
        <v>0</v>
      </c>
      <c r="N1336" s="732"/>
      <c r="O1336" s="727">
        <f t="shared" si="124"/>
        <v>0</v>
      </c>
      <c r="P1336" s="727">
        <f t="shared" si="125"/>
        <v>0</v>
      </c>
      <c r="Q1336" s="675"/>
    </row>
    <row r="1337" spans="2:17">
      <c r="B1337" s="332"/>
      <c r="C1337" s="723">
        <f>IF(D1302="","-",+C1336+1)</f>
        <v>2048</v>
      </c>
      <c r="D1337" s="674">
        <f t="shared" si="126"/>
        <v>34792.780507246338</v>
      </c>
      <c r="E1337" s="730">
        <f t="shared" si="127"/>
        <v>2026.7639130434782</v>
      </c>
      <c r="F1337" s="730">
        <f t="shared" si="120"/>
        <v>32766.016594202862</v>
      </c>
      <c r="G1337" s="674">
        <f t="shared" si="121"/>
        <v>33779.398550724596</v>
      </c>
      <c r="H1337" s="724">
        <f>+J1303*G1337+E1337</f>
        <v>5437.2482274295025</v>
      </c>
      <c r="I1337" s="731">
        <f>+J1304*G1337+E1337</f>
        <v>5437.2482274295025</v>
      </c>
      <c r="J1337" s="727">
        <f t="shared" si="122"/>
        <v>0</v>
      </c>
      <c r="K1337" s="727"/>
      <c r="L1337" s="732"/>
      <c r="M1337" s="727">
        <f t="shared" si="123"/>
        <v>0</v>
      </c>
      <c r="N1337" s="732"/>
      <c r="O1337" s="727">
        <f t="shared" si="124"/>
        <v>0</v>
      </c>
      <c r="P1337" s="727">
        <f t="shared" si="125"/>
        <v>0</v>
      </c>
      <c r="Q1337" s="675"/>
    </row>
    <row r="1338" spans="2:17">
      <c r="B1338" s="332"/>
      <c r="C1338" s="723">
        <f>IF(D1302="","-",+C1337+1)</f>
        <v>2049</v>
      </c>
      <c r="D1338" s="674">
        <f t="shared" si="126"/>
        <v>32766.016594202862</v>
      </c>
      <c r="E1338" s="730">
        <f t="shared" si="127"/>
        <v>2026.7639130434782</v>
      </c>
      <c r="F1338" s="730">
        <f t="shared" si="120"/>
        <v>30739.252681159385</v>
      </c>
      <c r="G1338" s="674">
        <f t="shared" si="121"/>
        <v>31752.634637681123</v>
      </c>
      <c r="H1338" s="724">
        <f>+J1303*G1338+E1338</f>
        <v>5232.6191685663416</v>
      </c>
      <c r="I1338" s="731">
        <f>+J1304*G1338+E1338</f>
        <v>5232.6191685663416</v>
      </c>
      <c r="J1338" s="727">
        <f t="shared" si="122"/>
        <v>0</v>
      </c>
      <c r="K1338" s="727"/>
      <c r="L1338" s="732"/>
      <c r="M1338" s="727">
        <f t="shared" si="123"/>
        <v>0</v>
      </c>
      <c r="N1338" s="732"/>
      <c r="O1338" s="727">
        <f t="shared" si="124"/>
        <v>0</v>
      </c>
      <c r="P1338" s="727">
        <f t="shared" si="125"/>
        <v>0</v>
      </c>
      <c r="Q1338" s="675"/>
    </row>
    <row r="1339" spans="2:17">
      <c r="B1339" s="332"/>
      <c r="C1339" s="723">
        <f>IF(D1302="","-",+C1338+1)</f>
        <v>2050</v>
      </c>
      <c r="D1339" s="674">
        <f t="shared" si="126"/>
        <v>30739.252681159385</v>
      </c>
      <c r="E1339" s="730">
        <f t="shared" si="127"/>
        <v>2026.7639130434782</v>
      </c>
      <c r="F1339" s="730">
        <f t="shared" si="120"/>
        <v>28712.488768115909</v>
      </c>
      <c r="G1339" s="674">
        <f t="shared" si="121"/>
        <v>29725.870724637647</v>
      </c>
      <c r="H1339" s="724">
        <f>+J1303*G1339+E1339</f>
        <v>5027.9901097031798</v>
      </c>
      <c r="I1339" s="731">
        <f>+J1304*G1339+E1339</f>
        <v>5027.9901097031798</v>
      </c>
      <c r="J1339" s="727">
        <f t="shared" si="122"/>
        <v>0</v>
      </c>
      <c r="K1339" s="727"/>
      <c r="L1339" s="732"/>
      <c r="M1339" s="727">
        <f t="shared" si="123"/>
        <v>0</v>
      </c>
      <c r="N1339" s="732"/>
      <c r="O1339" s="727">
        <f t="shared" si="124"/>
        <v>0</v>
      </c>
      <c r="P1339" s="727">
        <f t="shared" si="125"/>
        <v>0</v>
      </c>
      <c r="Q1339" s="675"/>
    </row>
    <row r="1340" spans="2:17">
      <c r="B1340" s="332"/>
      <c r="C1340" s="723">
        <f>IF(D1302="","-",+C1339+1)</f>
        <v>2051</v>
      </c>
      <c r="D1340" s="674">
        <f t="shared" si="126"/>
        <v>28712.488768115909</v>
      </c>
      <c r="E1340" s="730">
        <f t="shared" si="127"/>
        <v>2026.7639130434782</v>
      </c>
      <c r="F1340" s="730">
        <f t="shared" si="120"/>
        <v>26685.724855072433</v>
      </c>
      <c r="G1340" s="674">
        <f t="shared" si="121"/>
        <v>27699.106811594171</v>
      </c>
      <c r="H1340" s="724">
        <f>+J1303*G1340+E1340</f>
        <v>4823.3610508400179</v>
      </c>
      <c r="I1340" s="731">
        <f>+J1304*G1340+E1340</f>
        <v>4823.3610508400179</v>
      </c>
      <c r="J1340" s="727">
        <f t="shared" si="122"/>
        <v>0</v>
      </c>
      <c r="K1340" s="727"/>
      <c r="L1340" s="732"/>
      <c r="M1340" s="727">
        <f t="shared" si="123"/>
        <v>0</v>
      </c>
      <c r="N1340" s="732"/>
      <c r="O1340" s="727">
        <f t="shared" si="124"/>
        <v>0</v>
      </c>
      <c r="P1340" s="727">
        <f t="shared" si="125"/>
        <v>0</v>
      </c>
      <c r="Q1340" s="675"/>
    </row>
    <row r="1341" spans="2:17">
      <c r="B1341" s="332"/>
      <c r="C1341" s="723">
        <f>IF(D1302="","-",+C1340+1)</f>
        <v>2052</v>
      </c>
      <c r="D1341" s="674">
        <f t="shared" si="126"/>
        <v>26685.724855072433</v>
      </c>
      <c r="E1341" s="730">
        <f t="shared" si="127"/>
        <v>2026.7639130434782</v>
      </c>
      <c r="F1341" s="730">
        <f t="shared" si="120"/>
        <v>24658.960942028956</v>
      </c>
      <c r="G1341" s="674">
        <f t="shared" si="121"/>
        <v>25672.342898550694</v>
      </c>
      <c r="H1341" s="724">
        <f>+J1303*G1341+E1341</f>
        <v>4618.731991976857</v>
      </c>
      <c r="I1341" s="731">
        <f>+J1304*G1341+E1341</f>
        <v>4618.731991976857</v>
      </c>
      <c r="J1341" s="727">
        <f t="shared" si="122"/>
        <v>0</v>
      </c>
      <c r="K1341" s="727"/>
      <c r="L1341" s="732"/>
      <c r="M1341" s="727">
        <f t="shared" si="123"/>
        <v>0</v>
      </c>
      <c r="N1341" s="732"/>
      <c r="O1341" s="727">
        <f t="shared" si="124"/>
        <v>0</v>
      </c>
      <c r="P1341" s="727">
        <f t="shared" si="125"/>
        <v>0</v>
      </c>
      <c r="Q1341" s="675"/>
    </row>
    <row r="1342" spans="2:17">
      <c r="B1342" s="332"/>
      <c r="C1342" s="723">
        <f>IF(D1302="","-",+C1341+1)</f>
        <v>2053</v>
      </c>
      <c r="D1342" s="674">
        <f t="shared" si="126"/>
        <v>24658.960942028956</v>
      </c>
      <c r="E1342" s="730">
        <f t="shared" si="127"/>
        <v>2026.7639130434782</v>
      </c>
      <c r="F1342" s="730">
        <f t="shared" si="120"/>
        <v>22632.19702898548</v>
      </c>
      <c r="G1342" s="674">
        <f t="shared" si="121"/>
        <v>23645.578985507218</v>
      </c>
      <c r="H1342" s="724">
        <f>+J1303*G1342+E1342</f>
        <v>4414.1029331136951</v>
      </c>
      <c r="I1342" s="731">
        <f>+J1304*G1342+E1342</f>
        <v>4414.1029331136951</v>
      </c>
      <c r="J1342" s="727">
        <f t="shared" si="122"/>
        <v>0</v>
      </c>
      <c r="K1342" s="727"/>
      <c r="L1342" s="732"/>
      <c r="M1342" s="727">
        <f t="shared" si="123"/>
        <v>0</v>
      </c>
      <c r="N1342" s="732"/>
      <c r="O1342" s="727">
        <f t="shared" si="124"/>
        <v>0</v>
      </c>
      <c r="P1342" s="727">
        <f t="shared" si="125"/>
        <v>0</v>
      </c>
      <c r="Q1342" s="675"/>
    </row>
    <row r="1343" spans="2:17">
      <c r="B1343" s="332"/>
      <c r="C1343" s="723">
        <f>IF(D1302="","-",+C1342+1)</f>
        <v>2054</v>
      </c>
      <c r="D1343" s="674">
        <f t="shared" si="126"/>
        <v>22632.19702898548</v>
      </c>
      <c r="E1343" s="730">
        <f t="shared" si="127"/>
        <v>2026.7639130434782</v>
      </c>
      <c r="F1343" s="730">
        <f t="shared" si="120"/>
        <v>20605.433115942003</v>
      </c>
      <c r="G1343" s="674">
        <f t="shared" si="121"/>
        <v>21618.815072463742</v>
      </c>
      <c r="H1343" s="724">
        <f>+J1303*G1343+E1343</f>
        <v>4209.4738742505342</v>
      </c>
      <c r="I1343" s="731">
        <f>+J1304*G1343+E1343</f>
        <v>4209.4738742505342</v>
      </c>
      <c r="J1343" s="727">
        <f t="shared" si="122"/>
        <v>0</v>
      </c>
      <c r="K1343" s="727"/>
      <c r="L1343" s="732"/>
      <c r="M1343" s="727">
        <f t="shared" si="123"/>
        <v>0</v>
      </c>
      <c r="N1343" s="732"/>
      <c r="O1343" s="727">
        <f t="shared" si="124"/>
        <v>0</v>
      </c>
      <c r="P1343" s="727">
        <f t="shared" si="125"/>
        <v>0</v>
      </c>
      <c r="Q1343" s="675"/>
    </row>
    <row r="1344" spans="2:17">
      <c r="B1344" s="332"/>
      <c r="C1344" s="723">
        <f>IF(D1302="","-",+C1343+1)</f>
        <v>2055</v>
      </c>
      <c r="D1344" s="674">
        <f t="shared" si="126"/>
        <v>20605.433115942003</v>
      </c>
      <c r="E1344" s="730">
        <f t="shared" si="127"/>
        <v>2026.7639130434782</v>
      </c>
      <c r="F1344" s="730">
        <f t="shared" si="120"/>
        <v>18578.669202898527</v>
      </c>
      <c r="G1344" s="674">
        <f t="shared" si="121"/>
        <v>19592.051159420265</v>
      </c>
      <c r="H1344" s="724">
        <f>+J1303*G1344+E1344</f>
        <v>4004.8448153873724</v>
      </c>
      <c r="I1344" s="731">
        <f>+J1304*G1344+E1344</f>
        <v>4004.8448153873724</v>
      </c>
      <c r="J1344" s="727">
        <f t="shared" si="122"/>
        <v>0</v>
      </c>
      <c r="K1344" s="727"/>
      <c r="L1344" s="732"/>
      <c r="M1344" s="727">
        <f t="shared" si="123"/>
        <v>0</v>
      </c>
      <c r="N1344" s="732"/>
      <c r="O1344" s="727">
        <f t="shared" si="124"/>
        <v>0</v>
      </c>
      <c r="P1344" s="727">
        <f t="shared" si="125"/>
        <v>0</v>
      </c>
      <c r="Q1344" s="675"/>
    </row>
    <row r="1345" spans="2:17">
      <c r="B1345" s="332"/>
      <c r="C1345" s="723">
        <f>IF(D1302="","-",+C1344+1)</f>
        <v>2056</v>
      </c>
      <c r="D1345" s="674">
        <f t="shared" si="126"/>
        <v>18578.669202898527</v>
      </c>
      <c r="E1345" s="730">
        <f t="shared" si="127"/>
        <v>2026.7639130434782</v>
      </c>
      <c r="F1345" s="730">
        <f t="shared" si="120"/>
        <v>16551.905289855051</v>
      </c>
      <c r="G1345" s="674">
        <f t="shared" si="121"/>
        <v>17565.287246376789</v>
      </c>
      <c r="H1345" s="724">
        <f>+J1303*G1345+E1345</f>
        <v>3800.2157565242105</v>
      </c>
      <c r="I1345" s="731">
        <f>+J1304*G1345+E1345</f>
        <v>3800.2157565242105</v>
      </c>
      <c r="J1345" s="727">
        <f t="shared" si="122"/>
        <v>0</v>
      </c>
      <c r="K1345" s="727"/>
      <c r="L1345" s="732"/>
      <c r="M1345" s="727">
        <f t="shared" si="123"/>
        <v>0</v>
      </c>
      <c r="N1345" s="732"/>
      <c r="O1345" s="727">
        <f t="shared" si="124"/>
        <v>0</v>
      </c>
      <c r="P1345" s="727">
        <f t="shared" si="125"/>
        <v>0</v>
      </c>
      <c r="Q1345" s="675"/>
    </row>
    <row r="1346" spans="2:17">
      <c r="B1346" s="332"/>
      <c r="C1346" s="723">
        <f>IF(D1302="","-",+C1345+1)</f>
        <v>2057</v>
      </c>
      <c r="D1346" s="674">
        <f t="shared" si="126"/>
        <v>16551.905289855051</v>
      </c>
      <c r="E1346" s="730">
        <f t="shared" si="127"/>
        <v>2026.7639130434782</v>
      </c>
      <c r="F1346" s="730">
        <f t="shared" si="120"/>
        <v>14525.141376811573</v>
      </c>
      <c r="G1346" s="674">
        <f t="shared" si="121"/>
        <v>15538.523333333313</v>
      </c>
      <c r="H1346" s="724">
        <f>+J1303*G1346+E1346</f>
        <v>3595.5866976610496</v>
      </c>
      <c r="I1346" s="731">
        <f>+J1304*G1346+E1346</f>
        <v>3595.5866976610496</v>
      </c>
      <c r="J1346" s="727">
        <f t="shared" si="122"/>
        <v>0</v>
      </c>
      <c r="K1346" s="727"/>
      <c r="L1346" s="732"/>
      <c r="M1346" s="727">
        <f t="shared" si="123"/>
        <v>0</v>
      </c>
      <c r="N1346" s="732"/>
      <c r="O1346" s="727">
        <f t="shared" si="124"/>
        <v>0</v>
      </c>
      <c r="P1346" s="727">
        <f t="shared" si="125"/>
        <v>0</v>
      </c>
      <c r="Q1346" s="675"/>
    </row>
    <row r="1347" spans="2:17">
      <c r="B1347" s="332"/>
      <c r="C1347" s="723">
        <f>IF(D1302="","-",+C1346+1)</f>
        <v>2058</v>
      </c>
      <c r="D1347" s="674">
        <f t="shared" si="126"/>
        <v>14525.141376811573</v>
      </c>
      <c r="E1347" s="730">
        <f t="shared" si="127"/>
        <v>2026.7639130434782</v>
      </c>
      <c r="F1347" s="730">
        <f t="shared" si="120"/>
        <v>12498.377463768094</v>
      </c>
      <c r="G1347" s="674">
        <f t="shared" si="121"/>
        <v>13511.759420289833</v>
      </c>
      <c r="H1347" s="724">
        <f>+J1303*G1347+E1347</f>
        <v>3390.9576387978873</v>
      </c>
      <c r="I1347" s="731">
        <f>+J1304*G1347+E1347</f>
        <v>3390.9576387978873</v>
      </c>
      <c r="J1347" s="727">
        <f t="shared" si="122"/>
        <v>0</v>
      </c>
      <c r="K1347" s="727"/>
      <c r="L1347" s="732"/>
      <c r="M1347" s="727">
        <f t="shared" si="123"/>
        <v>0</v>
      </c>
      <c r="N1347" s="732"/>
      <c r="O1347" s="727">
        <f t="shared" si="124"/>
        <v>0</v>
      </c>
      <c r="P1347" s="727">
        <f t="shared" si="125"/>
        <v>0</v>
      </c>
      <c r="Q1347" s="675"/>
    </row>
    <row r="1348" spans="2:17">
      <c r="B1348" s="332"/>
      <c r="C1348" s="723">
        <f>IF(D1302="","-",+C1347+1)</f>
        <v>2059</v>
      </c>
      <c r="D1348" s="674">
        <f t="shared" si="126"/>
        <v>12498.377463768094</v>
      </c>
      <c r="E1348" s="730">
        <f t="shared" si="127"/>
        <v>2026.7639130434782</v>
      </c>
      <c r="F1348" s="730">
        <f t="shared" si="120"/>
        <v>10471.613550724616</v>
      </c>
      <c r="G1348" s="674">
        <f t="shared" si="121"/>
        <v>11484.995507246356</v>
      </c>
      <c r="H1348" s="724">
        <f>+J1303*G1348+E1348</f>
        <v>3186.3285799347259</v>
      </c>
      <c r="I1348" s="731">
        <f>+J1304*G1348+E1348</f>
        <v>3186.3285799347259</v>
      </c>
      <c r="J1348" s="727">
        <f t="shared" si="122"/>
        <v>0</v>
      </c>
      <c r="K1348" s="727"/>
      <c r="L1348" s="732"/>
      <c r="M1348" s="727">
        <f t="shared" si="123"/>
        <v>0</v>
      </c>
      <c r="N1348" s="732"/>
      <c r="O1348" s="727">
        <f t="shared" si="124"/>
        <v>0</v>
      </c>
      <c r="P1348" s="727">
        <f t="shared" si="125"/>
        <v>0</v>
      </c>
      <c r="Q1348" s="675"/>
    </row>
    <row r="1349" spans="2:17">
      <c r="B1349" s="332"/>
      <c r="C1349" s="723">
        <f>IF(D1302="","-",+C1348+1)</f>
        <v>2060</v>
      </c>
      <c r="D1349" s="674">
        <f t="shared" si="126"/>
        <v>10471.613550724616</v>
      </c>
      <c r="E1349" s="730">
        <f t="shared" si="127"/>
        <v>2026.7639130434782</v>
      </c>
      <c r="F1349" s="730">
        <f t="shared" si="120"/>
        <v>8444.8496376811381</v>
      </c>
      <c r="G1349" s="674">
        <f t="shared" si="121"/>
        <v>9458.2315942028763</v>
      </c>
      <c r="H1349" s="724">
        <f>+J1303*G1349+E1349</f>
        <v>2981.699521071564</v>
      </c>
      <c r="I1349" s="731">
        <f>+J1304*G1349+E1349</f>
        <v>2981.699521071564</v>
      </c>
      <c r="J1349" s="727">
        <f t="shared" si="122"/>
        <v>0</v>
      </c>
      <c r="K1349" s="727"/>
      <c r="L1349" s="732"/>
      <c r="M1349" s="727">
        <f t="shared" si="123"/>
        <v>0</v>
      </c>
      <c r="N1349" s="732"/>
      <c r="O1349" s="727">
        <f t="shared" si="124"/>
        <v>0</v>
      </c>
      <c r="P1349" s="727">
        <f t="shared" si="125"/>
        <v>0</v>
      </c>
      <c r="Q1349" s="675"/>
    </row>
    <row r="1350" spans="2:17">
      <c r="B1350" s="332"/>
      <c r="C1350" s="723">
        <f>IF(D1302="","-",+C1349+1)</f>
        <v>2061</v>
      </c>
      <c r="D1350" s="674">
        <f t="shared" si="126"/>
        <v>8444.8496376811381</v>
      </c>
      <c r="E1350" s="730">
        <f t="shared" si="127"/>
        <v>2026.7639130434782</v>
      </c>
      <c r="F1350" s="730">
        <f t="shared" si="120"/>
        <v>6418.08572463766</v>
      </c>
      <c r="G1350" s="674">
        <f t="shared" si="121"/>
        <v>7431.467681159399</v>
      </c>
      <c r="H1350" s="724">
        <f>+J1303*G1350+E1350</f>
        <v>2777.0704622084022</v>
      </c>
      <c r="I1350" s="731">
        <f>+J1304*G1350+E1350</f>
        <v>2777.0704622084022</v>
      </c>
      <c r="J1350" s="727">
        <f t="shared" si="122"/>
        <v>0</v>
      </c>
      <c r="K1350" s="727"/>
      <c r="L1350" s="732"/>
      <c r="M1350" s="727">
        <f t="shared" si="123"/>
        <v>0</v>
      </c>
      <c r="N1350" s="732"/>
      <c r="O1350" s="727">
        <f t="shared" si="124"/>
        <v>0</v>
      </c>
      <c r="P1350" s="727">
        <f t="shared" si="125"/>
        <v>0</v>
      </c>
      <c r="Q1350" s="675"/>
    </row>
    <row r="1351" spans="2:17">
      <c r="B1351" s="332"/>
      <c r="C1351" s="723">
        <f>IF(D1302="","-",+C1350+1)</f>
        <v>2062</v>
      </c>
      <c r="D1351" s="674">
        <f t="shared" si="126"/>
        <v>6418.08572463766</v>
      </c>
      <c r="E1351" s="730">
        <f t="shared" si="127"/>
        <v>2026.7639130434782</v>
      </c>
      <c r="F1351" s="730">
        <f t="shared" si="120"/>
        <v>4391.3218115941818</v>
      </c>
      <c r="G1351" s="674">
        <f t="shared" si="121"/>
        <v>5404.7037681159209</v>
      </c>
      <c r="H1351" s="724">
        <f>+J1303*G1351+E1351</f>
        <v>2572.4414033452404</v>
      </c>
      <c r="I1351" s="731">
        <f>+J1304*G1351+E1351</f>
        <v>2572.4414033452404</v>
      </c>
      <c r="J1351" s="727">
        <f t="shared" si="122"/>
        <v>0</v>
      </c>
      <c r="K1351" s="727"/>
      <c r="L1351" s="732"/>
      <c r="M1351" s="727">
        <f t="shared" si="123"/>
        <v>0</v>
      </c>
      <c r="N1351" s="732"/>
      <c r="O1351" s="727">
        <f t="shared" si="124"/>
        <v>0</v>
      </c>
      <c r="P1351" s="727">
        <f t="shared" si="125"/>
        <v>0</v>
      </c>
      <c r="Q1351" s="675"/>
    </row>
    <row r="1352" spans="2:17">
      <c r="B1352" s="332"/>
      <c r="C1352" s="723">
        <f>IF(D1302="","-",+C1351+1)</f>
        <v>2063</v>
      </c>
      <c r="D1352" s="674">
        <f t="shared" si="126"/>
        <v>4391.3218115941818</v>
      </c>
      <c r="E1352" s="730">
        <f t="shared" si="127"/>
        <v>2026.7639130434782</v>
      </c>
      <c r="F1352" s="730">
        <f t="shared" si="120"/>
        <v>2364.5578985507036</v>
      </c>
      <c r="G1352" s="674">
        <f t="shared" si="121"/>
        <v>3377.9398550724427</v>
      </c>
      <c r="H1352" s="724">
        <f>+J1303*G1352+E1352</f>
        <v>2367.812344482079</v>
      </c>
      <c r="I1352" s="731">
        <f>+J1304*G1352+E1352</f>
        <v>2367.812344482079</v>
      </c>
      <c r="J1352" s="727">
        <f t="shared" si="122"/>
        <v>0</v>
      </c>
      <c r="K1352" s="727"/>
      <c r="L1352" s="732"/>
      <c r="M1352" s="727">
        <f t="shared" si="123"/>
        <v>0</v>
      </c>
      <c r="N1352" s="732"/>
      <c r="O1352" s="727">
        <f t="shared" si="124"/>
        <v>0</v>
      </c>
      <c r="P1352" s="727">
        <f t="shared" si="125"/>
        <v>0</v>
      </c>
      <c r="Q1352" s="675"/>
    </row>
    <row r="1353" spans="2:17">
      <c r="B1353" s="332"/>
      <c r="C1353" s="723">
        <f>IF(D1302="","-",+C1352+1)</f>
        <v>2064</v>
      </c>
      <c r="D1353" s="674">
        <f t="shared" si="126"/>
        <v>2364.5578985507036</v>
      </c>
      <c r="E1353" s="730">
        <f t="shared" si="127"/>
        <v>2026.7639130434782</v>
      </c>
      <c r="F1353" s="730">
        <f t="shared" si="120"/>
        <v>337.79398550722544</v>
      </c>
      <c r="G1353" s="674">
        <f t="shared" si="121"/>
        <v>1351.1759420289645</v>
      </c>
      <c r="H1353" s="724">
        <f>+J1303*G1353+E1353</f>
        <v>2163.1832856189171</v>
      </c>
      <c r="I1353" s="731">
        <f>+J1304*G1353+E1353</f>
        <v>2163.1832856189171</v>
      </c>
      <c r="J1353" s="727">
        <f t="shared" si="122"/>
        <v>0</v>
      </c>
      <c r="K1353" s="727"/>
      <c r="L1353" s="732"/>
      <c r="M1353" s="727">
        <f t="shared" si="123"/>
        <v>0</v>
      </c>
      <c r="N1353" s="732"/>
      <c r="O1353" s="727">
        <f t="shared" si="124"/>
        <v>0</v>
      </c>
      <c r="P1353" s="727">
        <f t="shared" si="125"/>
        <v>0</v>
      </c>
      <c r="Q1353" s="675"/>
    </row>
    <row r="1354" spans="2:17">
      <c r="B1354" s="332"/>
      <c r="C1354" s="723">
        <f>IF(D1302="","-",+C1353+1)</f>
        <v>2065</v>
      </c>
      <c r="D1354" s="674">
        <f t="shared" si="126"/>
        <v>337.79398550722544</v>
      </c>
      <c r="E1354" s="730">
        <f t="shared" si="127"/>
        <v>337.79398550722544</v>
      </c>
      <c r="F1354" s="730">
        <f t="shared" si="120"/>
        <v>0</v>
      </c>
      <c r="G1354" s="674">
        <f t="shared" si="121"/>
        <v>168.89699275361272</v>
      </c>
      <c r="H1354" s="724">
        <f>+J1303*G1354+E1354</f>
        <v>354.84640707915452</v>
      </c>
      <c r="I1354" s="731">
        <f>+J1304*G1354+E1354</f>
        <v>354.84640707915452</v>
      </c>
      <c r="J1354" s="727">
        <f t="shared" si="122"/>
        <v>0</v>
      </c>
      <c r="K1354" s="727"/>
      <c r="L1354" s="732"/>
      <c r="M1354" s="727">
        <f t="shared" si="123"/>
        <v>0</v>
      </c>
      <c r="N1354" s="732"/>
      <c r="O1354" s="727">
        <f t="shared" si="124"/>
        <v>0</v>
      </c>
      <c r="P1354" s="727">
        <f t="shared" si="125"/>
        <v>0</v>
      </c>
      <c r="Q1354" s="675"/>
    </row>
    <row r="1355" spans="2:17">
      <c r="B1355" s="332"/>
      <c r="C1355" s="723">
        <f>IF(D1302="","-",+C1354+1)</f>
        <v>2066</v>
      </c>
      <c r="D1355" s="674">
        <f t="shared" si="126"/>
        <v>0</v>
      </c>
      <c r="E1355" s="730">
        <f t="shared" si="127"/>
        <v>0</v>
      </c>
      <c r="F1355" s="730">
        <f t="shared" si="120"/>
        <v>0</v>
      </c>
      <c r="G1355" s="674">
        <f t="shared" si="121"/>
        <v>0</v>
      </c>
      <c r="H1355" s="724">
        <f>+J1303*G1355+E1355</f>
        <v>0</v>
      </c>
      <c r="I1355" s="731">
        <f>+J1304*G1355+E1355</f>
        <v>0</v>
      </c>
      <c r="J1355" s="727">
        <f t="shared" si="122"/>
        <v>0</v>
      </c>
      <c r="K1355" s="727"/>
      <c r="L1355" s="732"/>
      <c r="M1355" s="727">
        <f t="shared" si="123"/>
        <v>0</v>
      </c>
      <c r="N1355" s="732"/>
      <c r="O1355" s="727">
        <f t="shared" si="124"/>
        <v>0</v>
      </c>
      <c r="P1355" s="727">
        <f t="shared" si="125"/>
        <v>0</v>
      </c>
      <c r="Q1355" s="675"/>
    </row>
    <row r="1356" spans="2:17">
      <c r="B1356" s="332"/>
      <c r="C1356" s="723">
        <f>IF(D1302="","-",+C1355+1)</f>
        <v>2067</v>
      </c>
      <c r="D1356" s="674">
        <f t="shared" si="126"/>
        <v>0</v>
      </c>
      <c r="E1356" s="730">
        <f t="shared" si="127"/>
        <v>0</v>
      </c>
      <c r="F1356" s="730">
        <f t="shared" si="120"/>
        <v>0</v>
      </c>
      <c r="G1356" s="674">
        <f t="shared" si="121"/>
        <v>0</v>
      </c>
      <c r="H1356" s="724">
        <f>+J1303*G1356+E1356</f>
        <v>0</v>
      </c>
      <c r="I1356" s="731">
        <f>+J1304*G1356+E1356</f>
        <v>0</v>
      </c>
      <c r="J1356" s="727">
        <f t="shared" si="122"/>
        <v>0</v>
      </c>
      <c r="K1356" s="727"/>
      <c r="L1356" s="732"/>
      <c r="M1356" s="727">
        <f t="shared" si="123"/>
        <v>0</v>
      </c>
      <c r="N1356" s="732"/>
      <c r="O1356" s="727">
        <f t="shared" si="124"/>
        <v>0</v>
      </c>
      <c r="P1356" s="727">
        <f t="shared" si="125"/>
        <v>0</v>
      </c>
      <c r="Q1356" s="675"/>
    </row>
    <row r="1357" spans="2:17">
      <c r="B1357" s="332"/>
      <c r="C1357" s="723">
        <f>IF(D1302="","-",+C1356+1)</f>
        <v>2068</v>
      </c>
      <c r="D1357" s="674">
        <f t="shared" si="126"/>
        <v>0</v>
      </c>
      <c r="E1357" s="730">
        <f t="shared" si="127"/>
        <v>0</v>
      </c>
      <c r="F1357" s="730">
        <f t="shared" si="120"/>
        <v>0</v>
      </c>
      <c r="G1357" s="674">
        <f t="shared" si="121"/>
        <v>0</v>
      </c>
      <c r="H1357" s="724">
        <f>+J1303*G1357+E1357</f>
        <v>0</v>
      </c>
      <c r="I1357" s="731">
        <f>+J1304*G1357+E1357</f>
        <v>0</v>
      </c>
      <c r="J1357" s="727">
        <f t="shared" si="122"/>
        <v>0</v>
      </c>
      <c r="K1357" s="727"/>
      <c r="L1357" s="732"/>
      <c r="M1357" s="727">
        <f t="shared" si="123"/>
        <v>0</v>
      </c>
      <c r="N1357" s="732"/>
      <c r="O1357" s="727">
        <f t="shared" si="124"/>
        <v>0</v>
      </c>
      <c r="P1357" s="727">
        <f t="shared" si="125"/>
        <v>0</v>
      </c>
      <c r="Q1357" s="675"/>
    </row>
    <row r="1358" spans="2:17">
      <c r="B1358" s="332"/>
      <c r="C1358" s="723">
        <f>IF(D1302="","-",+C1357+1)</f>
        <v>2069</v>
      </c>
      <c r="D1358" s="674">
        <f t="shared" si="126"/>
        <v>0</v>
      </c>
      <c r="E1358" s="730">
        <f t="shared" si="127"/>
        <v>0</v>
      </c>
      <c r="F1358" s="730">
        <f t="shared" si="120"/>
        <v>0</v>
      </c>
      <c r="G1358" s="674">
        <f t="shared" si="121"/>
        <v>0</v>
      </c>
      <c r="H1358" s="724">
        <f>+J1303*G1358+E1358</f>
        <v>0</v>
      </c>
      <c r="I1358" s="731">
        <f>+J1304*G1358+E1358</f>
        <v>0</v>
      </c>
      <c r="J1358" s="727">
        <f t="shared" si="122"/>
        <v>0</v>
      </c>
      <c r="K1358" s="727"/>
      <c r="L1358" s="732"/>
      <c r="M1358" s="727">
        <f t="shared" si="123"/>
        <v>0</v>
      </c>
      <c r="N1358" s="732"/>
      <c r="O1358" s="727">
        <f t="shared" si="124"/>
        <v>0</v>
      </c>
      <c r="P1358" s="727">
        <f t="shared" si="125"/>
        <v>0</v>
      </c>
      <c r="Q1358" s="675"/>
    </row>
    <row r="1359" spans="2:17">
      <c r="B1359" s="332"/>
      <c r="C1359" s="723">
        <f>IF(D1302="","-",+C1358+1)</f>
        <v>2070</v>
      </c>
      <c r="D1359" s="674">
        <f t="shared" si="126"/>
        <v>0</v>
      </c>
      <c r="E1359" s="730">
        <f t="shared" si="127"/>
        <v>0</v>
      </c>
      <c r="F1359" s="730">
        <f t="shared" si="120"/>
        <v>0</v>
      </c>
      <c r="G1359" s="674">
        <f t="shared" si="121"/>
        <v>0</v>
      </c>
      <c r="H1359" s="724">
        <f>+J1303*G1359+E1359</f>
        <v>0</v>
      </c>
      <c r="I1359" s="731">
        <f>+J1304*G1359+E1359</f>
        <v>0</v>
      </c>
      <c r="J1359" s="727">
        <f t="shared" si="122"/>
        <v>0</v>
      </c>
      <c r="K1359" s="727"/>
      <c r="L1359" s="732"/>
      <c r="M1359" s="727">
        <f t="shared" si="123"/>
        <v>0</v>
      </c>
      <c r="N1359" s="732"/>
      <c r="O1359" s="727">
        <f t="shared" si="124"/>
        <v>0</v>
      </c>
      <c r="P1359" s="727">
        <f t="shared" si="125"/>
        <v>0</v>
      </c>
      <c r="Q1359" s="675"/>
    </row>
    <row r="1360" spans="2:17">
      <c r="B1360" s="332"/>
      <c r="C1360" s="723">
        <f>IF(D1302="","-",+C1359+1)</f>
        <v>2071</v>
      </c>
      <c r="D1360" s="674">
        <f t="shared" si="126"/>
        <v>0</v>
      </c>
      <c r="E1360" s="730">
        <f t="shared" si="127"/>
        <v>0</v>
      </c>
      <c r="F1360" s="730">
        <f t="shared" si="120"/>
        <v>0</v>
      </c>
      <c r="G1360" s="674">
        <f t="shared" si="121"/>
        <v>0</v>
      </c>
      <c r="H1360" s="724">
        <f>+J1303*G1360+E1360</f>
        <v>0</v>
      </c>
      <c r="I1360" s="731">
        <f>+J1304*G1360+E1360</f>
        <v>0</v>
      </c>
      <c r="J1360" s="727">
        <f t="shared" si="122"/>
        <v>0</v>
      </c>
      <c r="K1360" s="727"/>
      <c r="L1360" s="732"/>
      <c r="M1360" s="727">
        <f t="shared" si="123"/>
        <v>0</v>
      </c>
      <c r="N1360" s="732"/>
      <c r="O1360" s="727">
        <f t="shared" si="124"/>
        <v>0</v>
      </c>
      <c r="P1360" s="727">
        <f t="shared" si="125"/>
        <v>0</v>
      </c>
      <c r="Q1360" s="675"/>
    </row>
    <row r="1361" spans="2:17">
      <c r="B1361" s="332"/>
      <c r="C1361" s="723">
        <f>IF(D1302="","-",+C1360+1)</f>
        <v>2072</v>
      </c>
      <c r="D1361" s="674">
        <f t="shared" si="126"/>
        <v>0</v>
      </c>
      <c r="E1361" s="730">
        <f t="shared" si="127"/>
        <v>0</v>
      </c>
      <c r="F1361" s="730">
        <f t="shared" si="120"/>
        <v>0</v>
      </c>
      <c r="G1361" s="674">
        <f t="shared" si="121"/>
        <v>0</v>
      </c>
      <c r="H1361" s="724">
        <f>+J1303*G1361+E1361</f>
        <v>0</v>
      </c>
      <c r="I1361" s="731">
        <f>+J1304*G1361+E1361</f>
        <v>0</v>
      </c>
      <c r="J1361" s="727">
        <f t="shared" si="122"/>
        <v>0</v>
      </c>
      <c r="K1361" s="727"/>
      <c r="L1361" s="732"/>
      <c r="M1361" s="727">
        <f t="shared" si="123"/>
        <v>0</v>
      </c>
      <c r="N1361" s="732"/>
      <c r="O1361" s="727">
        <f t="shared" si="124"/>
        <v>0</v>
      </c>
      <c r="P1361" s="727">
        <f t="shared" si="125"/>
        <v>0</v>
      </c>
      <c r="Q1361" s="675"/>
    </row>
    <row r="1362" spans="2:17">
      <c r="B1362" s="332"/>
      <c r="C1362" s="723">
        <f>IF(D1302="","-",+C1361+1)</f>
        <v>2073</v>
      </c>
      <c r="D1362" s="674">
        <f t="shared" si="126"/>
        <v>0</v>
      </c>
      <c r="E1362" s="730">
        <f t="shared" si="127"/>
        <v>0</v>
      </c>
      <c r="F1362" s="730">
        <f t="shared" si="120"/>
        <v>0</v>
      </c>
      <c r="G1362" s="674">
        <f t="shared" si="121"/>
        <v>0</v>
      </c>
      <c r="H1362" s="724">
        <f>+J1303*G1362+E1362</f>
        <v>0</v>
      </c>
      <c r="I1362" s="731">
        <f>+J1304*G1362+E1362</f>
        <v>0</v>
      </c>
      <c r="J1362" s="727">
        <f t="shared" si="122"/>
        <v>0</v>
      </c>
      <c r="K1362" s="727"/>
      <c r="L1362" s="732"/>
      <c r="M1362" s="727">
        <f t="shared" si="123"/>
        <v>0</v>
      </c>
      <c r="N1362" s="732"/>
      <c r="O1362" s="727">
        <f t="shared" si="124"/>
        <v>0</v>
      </c>
      <c r="P1362" s="727">
        <f t="shared" si="125"/>
        <v>0</v>
      </c>
      <c r="Q1362" s="675"/>
    </row>
    <row r="1363" spans="2:17">
      <c r="B1363" s="332"/>
      <c r="C1363" s="723">
        <f>IF(D1302="","-",+C1362+1)</f>
        <v>2074</v>
      </c>
      <c r="D1363" s="674">
        <f t="shared" si="126"/>
        <v>0</v>
      </c>
      <c r="E1363" s="730">
        <f t="shared" si="127"/>
        <v>0</v>
      </c>
      <c r="F1363" s="730">
        <f t="shared" si="120"/>
        <v>0</v>
      </c>
      <c r="G1363" s="674">
        <f t="shared" si="121"/>
        <v>0</v>
      </c>
      <c r="H1363" s="724">
        <f>+J1303*G1363+E1363</f>
        <v>0</v>
      </c>
      <c r="I1363" s="731">
        <f>+J1304*G1363+E1363</f>
        <v>0</v>
      </c>
      <c r="J1363" s="727">
        <f t="shared" si="122"/>
        <v>0</v>
      </c>
      <c r="K1363" s="727"/>
      <c r="L1363" s="732"/>
      <c r="M1363" s="727">
        <f t="shared" si="123"/>
        <v>0</v>
      </c>
      <c r="N1363" s="732"/>
      <c r="O1363" s="727">
        <f t="shared" si="124"/>
        <v>0</v>
      </c>
      <c r="P1363" s="727">
        <f t="shared" si="125"/>
        <v>0</v>
      </c>
      <c r="Q1363" s="675"/>
    </row>
    <row r="1364" spans="2:17">
      <c r="B1364" s="332"/>
      <c r="C1364" s="723">
        <f>IF(D1302="","-",+C1363+1)</f>
        <v>2075</v>
      </c>
      <c r="D1364" s="674">
        <f t="shared" si="126"/>
        <v>0</v>
      </c>
      <c r="E1364" s="730">
        <f t="shared" si="127"/>
        <v>0</v>
      </c>
      <c r="F1364" s="730">
        <f t="shared" si="120"/>
        <v>0</v>
      </c>
      <c r="G1364" s="674">
        <f t="shared" si="121"/>
        <v>0</v>
      </c>
      <c r="H1364" s="724">
        <f>+J1303*G1364+E1364</f>
        <v>0</v>
      </c>
      <c r="I1364" s="731">
        <f>+J1304*G1364+E1364</f>
        <v>0</v>
      </c>
      <c r="J1364" s="727">
        <f t="shared" si="122"/>
        <v>0</v>
      </c>
      <c r="K1364" s="727"/>
      <c r="L1364" s="732"/>
      <c r="M1364" s="727">
        <f t="shared" si="123"/>
        <v>0</v>
      </c>
      <c r="N1364" s="732"/>
      <c r="O1364" s="727">
        <f t="shared" si="124"/>
        <v>0</v>
      </c>
      <c r="P1364" s="727">
        <f t="shared" si="125"/>
        <v>0</v>
      </c>
      <c r="Q1364" s="675"/>
    </row>
    <row r="1365" spans="2:17">
      <c r="B1365" s="332"/>
      <c r="C1365" s="723">
        <f>IF(D1302="","-",+C1364+1)</f>
        <v>2076</v>
      </c>
      <c r="D1365" s="674">
        <f t="shared" si="126"/>
        <v>0</v>
      </c>
      <c r="E1365" s="730">
        <f t="shared" si="127"/>
        <v>0</v>
      </c>
      <c r="F1365" s="730">
        <f t="shared" si="120"/>
        <v>0</v>
      </c>
      <c r="G1365" s="674">
        <f t="shared" si="121"/>
        <v>0</v>
      </c>
      <c r="H1365" s="724">
        <f>+J1303*G1365+E1365</f>
        <v>0</v>
      </c>
      <c r="I1365" s="731">
        <f>+J1304*G1365+E1365</f>
        <v>0</v>
      </c>
      <c r="J1365" s="727">
        <f t="shared" si="122"/>
        <v>0</v>
      </c>
      <c r="K1365" s="727"/>
      <c r="L1365" s="732"/>
      <c r="M1365" s="727">
        <f t="shared" si="123"/>
        <v>0</v>
      </c>
      <c r="N1365" s="732"/>
      <c r="O1365" s="727">
        <f t="shared" si="124"/>
        <v>0</v>
      </c>
      <c r="P1365" s="727">
        <f t="shared" si="125"/>
        <v>0</v>
      </c>
      <c r="Q1365" s="675"/>
    </row>
    <row r="1366" spans="2:17">
      <c r="B1366" s="332"/>
      <c r="C1366" s="723">
        <f>IF(D1302="","-",+C1365+1)</f>
        <v>2077</v>
      </c>
      <c r="D1366" s="674">
        <f t="shared" si="126"/>
        <v>0</v>
      </c>
      <c r="E1366" s="730">
        <f t="shared" si="127"/>
        <v>0</v>
      </c>
      <c r="F1366" s="730">
        <f t="shared" si="120"/>
        <v>0</v>
      </c>
      <c r="G1366" s="674">
        <f t="shared" si="121"/>
        <v>0</v>
      </c>
      <c r="H1366" s="724">
        <f>+J1303*G1366+E1366</f>
        <v>0</v>
      </c>
      <c r="I1366" s="731">
        <f>+J1304*G1366+E1366</f>
        <v>0</v>
      </c>
      <c r="J1366" s="727">
        <f t="shared" si="122"/>
        <v>0</v>
      </c>
      <c r="K1366" s="727"/>
      <c r="L1366" s="732"/>
      <c r="M1366" s="727">
        <f t="shared" si="123"/>
        <v>0</v>
      </c>
      <c r="N1366" s="732"/>
      <c r="O1366" s="727">
        <f t="shared" si="124"/>
        <v>0</v>
      </c>
      <c r="P1366" s="727">
        <f t="shared" si="125"/>
        <v>0</v>
      </c>
      <c r="Q1366" s="675"/>
    </row>
    <row r="1367" spans="2:17" ht="13.5" thickBot="1">
      <c r="B1367" s="332"/>
      <c r="C1367" s="735">
        <f>IF(D1302="","-",+C1366+1)</f>
        <v>2078</v>
      </c>
      <c r="D1367" s="736">
        <f t="shared" si="126"/>
        <v>0</v>
      </c>
      <c r="E1367" s="730">
        <f t="shared" si="127"/>
        <v>0</v>
      </c>
      <c r="F1367" s="737">
        <f t="shared" si="120"/>
        <v>0</v>
      </c>
      <c r="G1367" s="736">
        <f t="shared" si="121"/>
        <v>0</v>
      </c>
      <c r="H1367" s="738">
        <f>+J1303*G1367+E1367</f>
        <v>0</v>
      </c>
      <c r="I1367" s="738">
        <f>+J1304*G1367+E1367</f>
        <v>0</v>
      </c>
      <c r="J1367" s="739">
        <f t="shared" si="122"/>
        <v>0</v>
      </c>
      <c r="K1367" s="727"/>
      <c r="L1367" s="740"/>
      <c r="M1367" s="739">
        <f t="shared" si="123"/>
        <v>0</v>
      </c>
      <c r="N1367" s="740"/>
      <c r="O1367" s="739">
        <f t="shared" si="124"/>
        <v>0</v>
      </c>
      <c r="P1367" s="739">
        <f t="shared" si="125"/>
        <v>0</v>
      </c>
      <c r="Q1367" s="675"/>
    </row>
    <row r="1368" spans="2:17">
      <c r="B1368" s="332"/>
      <c r="C1368" s="674" t="s">
        <v>288</v>
      </c>
      <c r="D1368" s="670"/>
      <c r="E1368" s="670">
        <f>SUM(E1308:E1367)</f>
        <v>93231.140000000014</v>
      </c>
      <c r="F1368" s="670"/>
      <c r="G1368" s="670"/>
      <c r="H1368" s="670">
        <f>SUM(H1308:H1367)</f>
        <v>311297.50706184242</v>
      </c>
      <c r="I1368" s="670">
        <f>SUM(I1308:I1367)</f>
        <v>311297.50706184242</v>
      </c>
      <c r="J1368" s="670">
        <f>SUM(J1308:J1367)</f>
        <v>0</v>
      </c>
      <c r="K1368" s="670"/>
      <c r="L1368" s="670"/>
      <c r="M1368" s="670"/>
      <c r="N1368" s="670"/>
      <c r="O1368" s="670"/>
      <c r="Q1368" s="670"/>
    </row>
    <row r="1369" spans="2:17">
      <c r="B1369" s="332"/>
      <c r="D1369" s="564"/>
      <c r="E1369" s="541"/>
      <c r="F1369" s="541"/>
      <c r="G1369" s="541"/>
      <c r="H1369" s="541"/>
      <c r="I1369" s="647"/>
      <c r="J1369" s="647"/>
      <c r="K1369" s="670"/>
      <c r="L1369" s="647"/>
      <c r="M1369" s="647"/>
      <c r="N1369" s="647"/>
      <c r="O1369" s="647"/>
      <c r="Q1369" s="670"/>
    </row>
    <row r="1370" spans="2:17">
      <c r="B1370" s="332"/>
      <c r="C1370" s="541" t="s">
        <v>601</v>
      </c>
      <c r="D1370" s="564"/>
      <c r="E1370" s="541"/>
      <c r="F1370" s="541"/>
      <c r="G1370" s="541"/>
      <c r="H1370" s="541"/>
      <c r="I1370" s="647"/>
      <c r="J1370" s="647"/>
      <c r="K1370" s="670"/>
      <c r="L1370" s="647"/>
      <c r="M1370" s="647"/>
      <c r="N1370" s="647"/>
      <c r="O1370" s="647"/>
      <c r="Q1370" s="670"/>
    </row>
    <row r="1371" spans="2:17">
      <c r="B1371" s="332"/>
      <c r="D1371" s="564"/>
      <c r="E1371" s="541"/>
      <c r="F1371" s="541"/>
      <c r="G1371" s="541"/>
      <c r="H1371" s="541"/>
      <c r="I1371" s="647"/>
      <c r="J1371" s="647"/>
      <c r="K1371" s="670"/>
      <c r="L1371" s="647"/>
      <c r="M1371" s="647"/>
      <c r="N1371" s="647"/>
      <c r="O1371" s="647"/>
      <c r="Q1371" s="670"/>
    </row>
    <row r="1372" spans="2:17">
      <c r="B1372" s="332"/>
      <c r="C1372" s="577" t="s">
        <v>602</v>
      </c>
      <c r="D1372" s="674"/>
      <c r="E1372" s="674"/>
      <c r="F1372" s="674"/>
      <c r="G1372" s="674"/>
      <c r="H1372" s="670"/>
      <c r="I1372" s="670"/>
      <c r="J1372" s="675"/>
      <c r="K1372" s="675"/>
      <c r="L1372" s="675"/>
      <c r="M1372" s="675"/>
      <c r="N1372" s="675"/>
      <c r="O1372" s="675"/>
      <c r="Q1372" s="675"/>
    </row>
    <row r="1373" spans="2:17">
      <c r="B1373" s="332"/>
      <c r="C1373" s="577" t="s">
        <v>476</v>
      </c>
      <c r="D1373" s="674"/>
      <c r="E1373" s="674"/>
      <c r="F1373" s="674"/>
      <c r="G1373" s="674"/>
      <c r="H1373" s="670"/>
      <c r="I1373" s="670"/>
      <c r="J1373" s="675"/>
      <c r="K1373" s="675"/>
      <c r="L1373" s="675"/>
      <c r="M1373" s="675"/>
      <c r="N1373" s="675"/>
      <c r="O1373" s="675"/>
      <c r="Q1373" s="675"/>
    </row>
    <row r="1374" spans="2:17">
      <c r="B1374" s="332"/>
      <c r="C1374" s="577" t="s">
        <v>289</v>
      </c>
      <c r="D1374" s="674"/>
      <c r="E1374" s="674"/>
      <c r="F1374" s="674"/>
      <c r="G1374" s="674"/>
      <c r="H1374" s="670"/>
      <c r="I1374" s="670"/>
      <c r="J1374" s="675"/>
      <c r="K1374" s="675"/>
      <c r="L1374" s="675"/>
      <c r="M1374" s="675"/>
      <c r="N1374" s="675"/>
      <c r="O1374" s="675"/>
      <c r="Q1374" s="675"/>
    </row>
  </sheetData>
  <mergeCells count="38">
    <mergeCell ref="L697:O697"/>
    <mergeCell ref="D521:H521"/>
    <mergeCell ref="L525:O525"/>
    <mergeCell ref="D607:H607"/>
    <mergeCell ref="L611:O611"/>
    <mergeCell ref="D693:H693"/>
    <mergeCell ref="L267:O267"/>
    <mergeCell ref="D349:G349"/>
    <mergeCell ref="L353:O353"/>
    <mergeCell ref="L439:O439"/>
    <mergeCell ref="D435:H435"/>
    <mergeCell ref="A3:P3"/>
    <mergeCell ref="C11:I12"/>
    <mergeCell ref="A4:P4"/>
    <mergeCell ref="A5:P5"/>
    <mergeCell ref="A6:P6"/>
    <mergeCell ref="C51:D52"/>
    <mergeCell ref="D91:G91"/>
    <mergeCell ref="D177:G177"/>
    <mergeCell ref="L181:O181"/>
    <mergeCell ref="D263:G263"/>
    <mergeCell ref="C60:D61"/>
    <mergeCell ref="C71:D72"/>
    <mergeCell ref="L95:O95"/>
    <mergeCell ref="D1297:H1297"/>
    <mergeCell ref="L1301:O1301"/>
    <mergeCell ref="D779:H779"/>
    <mergeCell ref="L783:O783"/>
    <mergeCell ref="D1123:H1123"/>
    <mergeCell ref="L1127:O1127"/>
    <mergeCell ref="D865:H865"/>
    <mergeCell ref="L869:O869"/>
    <mergeCell ref="D951:H951"/>
    <mergeCell ref="L955:O955"/>
    <mergeCell ref="D1037:H1037"/>
    <mergeCell ref="L1041:O1041"/>
    <mergeCell ref="D1210:H1210"/>
    <mergeCell ref="L1214:O1214"/>
  </mergeCells>
  <phoneticPr fontId="0" type="noConversion"/>
  <conditionalFormatting sqref="C102:C161">
    <cfRule type="cellIs" dxfId="35" priority="25" stopIfTrue="1" operator="equal">
      <formula>$J$92</formula>
    </cfRule>
  </conditionalFormatting>
  <conditionalFormatting sqref="C188:C247">
    <cfRule type="cellIs" dxfId="34" priority="14" stopIfTrue="1" operator="equal">
      <formula>$J$92</formula>
    </cfRule>
  </conditionalFormatting>
  <conditionalFormatting sqref="C274:C333">
    <cfRule type="cellIs" dxfId="33" priority="13" stopIfTrue="1" operator="equal">
      <formula>$J$92</formula>
    </cfRule>
  </conditionalFormatting>
  <conditionalFormatting sqref="C360:C419">
    <cfRule type="cellIs" dxfId="32" priority="12" stopIfTrue="1" operator="equal">
      <formula>$J$92</formula>
    </cfRule>
  </conditionalFormatting>
  <conditionalFormatting sqref="C446:C505">
    <cfRule type="cellIs" dxfId="31" priority="11" stopIfTrue="1" operator="equal">
      <formula>$J$92</formula>
    </cfRule>
  </conditionalFormatting>
  <conditionalFormatting sqref="C532:C591">
    <cfRule type="cellIs" dxfId="30" priority="10" stopIfTrue="1" operator="equal">
      <formula>$J$92</formula>
    </cfRule>
  </conditionalFormatting>
  <conditionalFormatting sqref="C618:C677">
    <cfRule type="cellIs" dxfId="29" priority="9" stopIfTrue="1" operator="equal">
      <formula>$J$92</formula>
    </cfRule>
  </conditionalFormatting>
  <conditionalFormatting sqref="C704:C763">
    <cfRule type="cellIs" dxfId="28" priority="8" stopIfTrue="1" operator="equal">
      <formula>$J$92</formula>
    </cfRule>
  </conditionalFormatting>
  <conditionalFormatting sqref="C790:C849">
    <cfRule type="cellIs" dxfId="27" priority="7" stopIfTrue="1" operator="equal">
      <formula>$J$92</formula>
    </cfRule>
  </conditionalFormatting>
  <conditionalFormatting sqref="C876:C935">
    <cfRule type="cellIs" dxfId="26" priority="6" stopIfTrue="1" operator="equal">
      <formula>$J$92</formula>
    </cfRule>
  </conditionalFormatting>
  <conditionalFormatting sqref="C962:C1021">
    <cfRule type="cellIs" dxfId="25" priority="5" stopIfTrue="1" operator="equal">
      <formula>$J$92</formula>
    </cfRule>
  </conditionalFormatting>
  <conditionalFormatting sqref="C1048:C1107">
    <cfRule type="cellIs" dxfId="24" priority="4" stopIfTrue="1" operator="equal">
      <formula>$J$92</formula>
    </cfRule>
  </conditionalFormatting>
  <conditionalFormatting sqref="C1134:C1193">
    <cfRule type="cellIs" dxfId="23" priority="3" stopIfTrue="1" operator="equal">
      <formula>$J$92</formula>
    </cfRule>
  </conditionalFormatting>
  <conditionalFormatting sqref="C1221:C1280">
    <cfRule type="cellIs" dxfId="22" priority="2" stopIfTrue="1" operator="equal">
      <formula>$J$92</formula>
    </cfRule>
  </conditionalFormatting>
  <conditionalFormatting sqref="C1308:C1367">
    <cfRule type="cellIs" dxfId="21" priority="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3" manualBreakCount="13">
    <brk id="81" max="15" man="1"/>
    <brk id="254" max="16383" man="1"/>
    <brk id="340" max="16383" man="1"/>
    <brk id="426" max="16383" man="1"/>
    <brk id="512" max="16383" man="1"/>
    <brk id="598" max="16383" man="1"/>
    <brk id="684" max="16383" man="1"/>
    <brk id="770" max="16383" man="1"/>
    <brk id="856" max="16383" man="1"/>
    <brk id="942" max="16383" man="1"/>
    <brk id="1028" max="16383" man="1"/>
    <brk id="1114" max="16383" man="1"/>
    <brk id="120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zoomScaleNormal="100" zoomScaleSheetLayoutView="100" workbookViewId="0">
      <selection activeCell="A3" sqref="A3"/>
    </sheetView>
  </sheetViews>
  <sheetFormatPr defaultColWidth="9.140625" defaultRowHeight="12.75"/>
  <cols>
    <col min="1" max="1" width="9.140625" style="30"/>
    <col min="2" max="2" width="37.5703125" style="182" customWidth="1"/>
    <col min="3" max="3" width="31.5703125" style="179" customWidth="1"/>
    <col min="4" max="4" width="14.85546875" style="179" customWidth="1"/>
    <col min="5" max="5" width="18" style="179" customWidth="1"/>
    <col min="6" max="7" width="11.140625" style="179" bestFit="1" customWidth="1"/>
    <col min="8" max="8" width="11.140625" style="248" bestFit="1" customWidth="1"/>
    <col min="9" max="16384" width="9.140625" style="179"/>
  </cols>
  <sheetData>
    <row r="1" spans="1:30" ht="15.75">
      <c r="A1" s="893" t="s">
        <v>114</v>
      </c>
    </row>
    <row r="2" spans="1:30" ht="15.75">
      <c r="A2" s="893" t="s">
        <v>114</v>
      </c>
    </row>
    <row r="3" spans="1:30" ht="15">
      <c r="B3" s="1488" t="s">
        <v>387</v>
      </c>
      <c r="C3" s="1488"/>
      <c r="D3" s="1488"/>
      <c r="E3" s="1488"/>
      <c r="F3" s="1488"/>
      <c r="G3" s="38"/>
      <c r="H3" s="244"/>
      <c r="I3" s="38"/>
      <c r="J3" s="38"/>
      <c r="K3" s="38"/>
      <c r="L3" s="38"/>
      <c r="M3" s="38"/>
      <c r="N3" s="38"/>
      <c r="O3" s="38"/>
      <c r="P3" s="38"/>
    </row>
    <row r="4" spans="1:30" ht="15">
      <c r="B4" s="1489" t="str">
        <f>"Cost of Service Formula Rate Using "&amp;TCOS!L4&amp;" FF1 Balances"</f>
        <v>Cost of Service Formula Rate Using 2020 FF1 Balances</v>
      </c>
      <c r="C4" s="1489"/>
      <c r="D4" s="1489"/>
      <c r="E4" s="1489"/>
      <c r="F4" s="1489"/>
      <c r="G4" s="94"/>
      <c r="H4" s="245"/>
      <c r="I4" s="94"/>
      <c r="J4" s="94"/>
      <c r="K4" s="94"/>
      <c r="L4" s="94"/>
      <c r="M4" s="94"/>
      <c r="N4" s="94"/>
      <c r="O4" s="94"/>
      <c r="P4" s="94"/>
    </row>
    <row r="5" spans="1:30" ht="18">
      <c r="B5" s="1488" t="s">
        <v>547</v>
      </c>
      <c r="C5" s="1488"/>
      <c r="D5" s="1488"/>
      <c r="E5" s="1488"/>
      <c r="F5" s="1488"/>
      <c r="G5" s="151"/>
      <c r="H5" s="246"/>
      <c r="I5" s="151"/>
      <c r="J5" s="151"/>
      <c r="K5" s="151"/>
    </row>
    <row r="6" spans="1:30" ht="18">
      <c r="B6" s="1500" t="str">
        <f>+TCOS!F9</f>
        <v>Appalachian Power Company</v>
      </c>
      <c r="C6" s="1488"/>
      <c r="D6" s="1488"/>
      <c r="E6" s="1488"/>
      <c r="F6" s="1488"/>
      <c r="G6" s="159"/>
      <c r="H6" s="247"/>
      <c r="I6" s="159"/>
      <c r="J6" s="159"/>
      <c r="K6" s="159"/>
    </row>
    <row r="8" spans="1:30" ht="18.75" customHeight="1">
      <c r="B8" s="19"/>
      <c r="C8" s="140"/>
      <c r="D8" s="181"/>
    </row>
    <row r="10" spans="1:30" ht="18">
      <c r="B10" s="8"/>
      <c r="C10" s="8"/>
      <c r="D10" s="8"/>
      <c r="E10" s="8"/>
      <c r="F10" s="8"/>
      <c r="R10" s="150"/>
      <c r="S10" s="150"/>
      <c r="T10" s="150"/>
      <c r="U10" s="150"/>
      <c r="V10" s="150"/>
      <c r="W10" s="150"/>
      <c r="X10" s="150"/>
      <c r="Y10" s="150"/>
      <c r="Z10" s="150"/>
      <c r="AA10" s="150"/>
      <c r="AB10" s="193"/>
      <c r="AC10" s="193"/>
      <c r="AD10" s="193"/>
    </row>
    <row r="11" spans="1:30">
      <c r="A11" s="883"/>
      <c r="B11" s="180"/>
      <c r="C11" s="181"/>
    </row>
    <row r="12" spans="1:30">
      <c r="A12" s="227"/>
      <c r="B12" s="12"/>
      <c r="C12" s="12"/>
      <c r="D12" s="12"/>
      <c r="E12" s="12"/>
      <c r="F12" s="12"/>
      <c r="G12" s="11"/>
    </row>
    <row r="13" spans="1:30">
      <c r="A13" s="229"/>
      <c r="B13" s="12"/>
      <c r="C13" s="12"/>
      <c r="D13" s="12"/>
      <c r="E13" s="12"/>
      <c r="F13" s="12"/>
      <c r="G13" s="11"/>
    </row>
    <row r="14" spans="1:30">
      <c r="A14" s="266"/>
      <c r="B14" s="12"/>
      <c r="C14" s="12"/>
      <c r="D14" s="12"/>
      <c r="E14" s="12"/>
      <c r="F14" s="12"/>
      <c r="H14" s="179"/>
    </row>
    <row r="15" spans="1:30">
      <c r="A15" s="266"/>
      <c r="B15" s="12"/>
      <c r="C15" s="12"/>
      <c r="D15" s="12"/>
      <c r="E15" s="12"/>
      <c r="F15" s="12"/>
      <c r="H15" s="179"/>
    </row>
    <row r="16" spans="1:30">
      <c r="A16" s="266"/>
      <c r="B16" s="12"/>
      <c r="C16" s="12"/>
      <c r="D16" s="12"/>
      <c r="E16" s="12"/>
      <c r="F16" s="12"/>
      <c r="H16" s="179"/>
    </row>
    <row r="17" spans="1:8" ht="12.75" customHeight="1">
      <c r="A17" s="266"/>
      <c r="B17" s="12"/>
      <c r="C17" s="12"/>
      <c r="D17" s="12"/>
      <c r="E17" s="12"/>
      <c r="F17" s="12"/>
      <c r="H17" s="179"/>
    </row>
    <row r="18" spans="1:8">
      <c r="A18" s="266"/>
      <c r="B18" s="12"/>
      <c r="C18" s="12"/>
      <c r="D18" s="12"/>
      <c r="E18" s="12"/>
      <c r="F18" s="12"/>
      <c r="H18" s="179"/>
    </row>
    <row r="19" spans="1:8">
      <c r="A19" s="266"/>
      <c r="B19" s="12"/>
      <c r="C19" s="12"/>
      <c r="D19" s="12"/>
      <c r="E19" s="12"/>
      <c r="F19" s="12"/>
      <c r="H19" s="179"/>
    </row>
    <row r="20" spans="1:8">
      <c r="A20" s="266"/>
      <c r="B20" s="12"/>
      <c r="C20" s="12"/>
      <c r="D20" s="12"/>
      <c r="E20" s="12"/>
      <c r="F20" s="12"/>
      <c r="H20" s="179"/>
    </row>
    <row r="21" spans="1:8">
      <c r="A21" s="266"/>
      <c r="B21" s="12"/>
      <c r="C21" s="12"/>
      <c r="D21" s="12"/>
      <c r="E21" s="12"/>
      <c r="F21" s="12"/>
      <c r="H21" s="179"/>
    </row>
    <row r="22" spans="1:8">
      <c r="A22" s="266"/>
      <c r="B22" s="12"/>
      <c r="C22" s="12"/>
      <c r="D22" s="12"/>
      <c r="E22" s="12"/>
      <c r="F22" s="12"/>
      <c r="H22" s="179"/>
    </row>
    <row r="23" spans="1:8" ht="12.75" customHeight="1">
      <c r="A23" s="266"/>
      <c r="B23" s="12"/>
      <c r="C23" s="12"/>
      <c r="D23" s="12"/>
      <c r="E23" s="12"/>
      <c r="F23" s="12"/>
      <c r="H23" s="179"/>
    </row>
    <row r="24" spans="1:8" ht="12.75" customHeight="1">
      <c r="A24" s="266"/>
      <c r="B24" s="12"/>
      <c r="C24" s="12"/>
      <c r="D24" s="12"/>
      <c r="E24" s="12"/>
      <c r="F24" s="12"/>
      <c r="H24" s="179"/>
    </row>
    <row r="25" spans="1:8" ht="12.75" customHeight="1">
      <c r="A25" s="266"/>
      <c r="B25" s="12"/>
      <c r="C25" s="12"/>
      <c r="D25" s="12"/>
      <c r="E25" s="12"/>
      <c r="F25" s="12"/>
      <c r="H25" s="179"/>
    </row>
    <row r="26" spans="1:8" ht="12.75" customHeight="1">
      <c r="A26" s="266"/>
      <c r="B26" s="12"/>
      <c r="C26" s="12"/>
      <c r="D26" s="12"/>
      <c r="E26" s="12"/>
      <c r="F26" s="12"/>
      <c r="H26" s="179"/>
    </row>
    <row r="27" spans="1:8" ht="12.75" customHeight="1">
      <c r="A27" s="266"/>
      <c r="B27" s="12"/>
      <c r="C27" s="12"/>
      <c r="D27" s="12"/>
      <c r="E27" s="12"/>
      <c r="F27" s="12"/>
      <c r="H27" s="179"/>
    </row>
    <row r="28" spans="1:8" ht="12.75" customHeight="1">
      <c r="A28" s="266"/>
      <c r="B28" s="12"/>
      <c r="C28" s="12"/>
      <c r="D28" s="12"/>
      <c r="E28" s="12"/>
      <c r="F28" s="12"/>
      <c r="H28" s="179"/>
    </row>
    <row r="29" spans="1:8" ht="12.75" customHeight="1">
      <c r="A29" s="266"/>
      <c r="B29" s="12"/>
      <c r="C29" s="12"/>
      <c r="D29" s="12"/>
      <c r="E29" s="12"/>
      <c r="F29" s="12"/>
      <c r="H29" s="179"/>
    </row>
    <row r="30" spans="1:8" ht="12.75" customHeight="1">
      <c r="A30" s="266"/>
      <c r="B30" s="12"/>
      <c r="C30" s="12"/>
      <c r="D30" s="12"/>
      <c r="E30" s="12"/>
      <c r="F30" s="12"/>
      <c r="H30" s="179"/>
    </row>
    <row r="31" spans="1:8" ht="12.75" customHeight="1">
      <c r="A31" s="266"/>
      <c r="B31" s="12"/>
      <c r="C31" s="12"/>
      <c r="D31" s="12"/>
      <c r="E31" s="12"/>
      <c r="F31" s="12"/>
      <c r="H31" s="179"/>
    </row>
    <row r="32" spans="1:8" ht="12.75" customHeight="1">
      <c r="A32" s="266"/>
      <c r="B32" s="12"/>
      <c r="C32" s="12"/>
      <c r="D32" s="12"/>
      <c r="E32" s="12"/>
      <c r="F32" s="12"/>
      <c r="H32" s="179"/>
    </row>
    <row r="33" spans="1:8" ht="12.75" customHeight="1">
      <c r="A33" s="266"/>
      <c r="B33" s="12"/>
      <c r="C33" s="12"/>
      <c r="D33" s="12"/>
      <c r="E33" s="12"/>
      <c r="F33" s="12"/>
      <c r="H33" s="179"/>
    </row>
    <row r="34" spans="1:8" ht="12.75" customHeight="1">
      <c r="A34" s="266"/>
      <c r="B34" s="12"/>
      <c r="C34" s="12"/>
      <c r="D34" s="12"/>
      <c r="E34" s="12"/>
      <c r="F34" s="12"/>
      <c r="H34" s="179"/>
    </row>
    <row r="35" spans="1:8" ht="12.75" customHeight="1">
      <c r="A35" s="266"/>
      <c r="B35" s="12"/>
      <c r="C35" s="12"/>
      <c r="D35" s="12"/>
      <c r="E35" s="12"/>
      <c r="F35" s="12"/>
      <c r="H35" s="179"/>
    </row>
    <row r="36" spans="1:8" ht="12.75" customHeight="1">
      <c r="A36" s="266"/>
      <c r="B36" s="12"/>
      <c r="C36" s="12"/>
      <c r="D36" s="12"/>
      <c r="E36" s="12"/>
      <c r="F36" s="12"/>
      <c r="H36" s="179"/>
    </row>
    <row r="37" spans="1:8" ht="12.75" customHeight="1">
      <c r="A37" s="266"/>
      <c r="B37" s="12"/>
      <c r="C37" s="12"/>
      <c r="D37" s="12"/>
      <c r="E37" s="12"/>
      <c r="F37" s="12"/>
      <c r="H37" s="179"/>
    </row>
    <row r="38" spans="1:8" ht="12.75" customHeight="1">
      <c r="A38" s="266"/>
      <c r="B38" s="12"/>
      <c r="C38" s="12"/>
      <c r="D38" s="12"/>
      <c r="E38" s="12"/>
      <c r="F38" s="12"/>
      <c r="H38" s="179"/>
    </row>
    <row r="39" spans="1:8" ht="12.75" customHeight="1">
      <c r="A39" s="266"/>
      <c r="B39" s="12"/>
      <c r="C39" s="12"/>
      <c r="D39" s="12"/>
      <c r="E39" s="12"/>
      <c r="F39" s="12"/>
      <c r="H39" s="179"/>
    </row>
    <row r="40" spans="1:8" ht="12.75" customHeight="1">
      <c r="A40" s="266"/>
      <c r="B40" s="12"/>
      <c r="C40" s="12"/>
      <c r="D40" s="12"/>
      <c r="E40" s="12"/>
      <c r="F40" s="12"/>
      <c r="H40" s="179"/>
    </row>
    <row r="41" spans="1:8" ht="12.75" customHeight="1">
      <c r="A41" s="266"/>
      <c r="B41" s="12"/>
      <c r="C41" s="12"/>
      <c r="D41" s="12"/>
      <c r="E41" s="12"/>
      <c r="F41" s="12"/>
      <c r="H41" s="179"/>
    </row>
    <row r="42" spans="1:8" ht="12.75" customHeight="1">
      <c r="A42" s="266"/>
      <c r="B42" s="12"/>
      <c r="C42" s="12"/>
      <c r="D42" s="12"/>
      <c r="E42" s="12"/>
      <c r="F42" s="12"/>
      <c r="H42" s="179"/>
    </row>
    <row r="43" spans="1:8" ht="12.6" customHeight="1">
      <c r="A43" s="266"/>
      <c r="B43" s="12"/>
      <c r="C43" s="12"/>
      <c r="D43" s="12"/>
      <c r="E43" s="12"/>
      <c r="F43" s="12"/>
      <c r="H43" s="179"/>
    </row>
    <row r="44" spans="1:8" ht="12.75" customHeight="1">
      <c r="A44" s="266"/>
      <c r="B44" s="12"/>
      <c r="C44" s="12"/>
      <c r="D44" s="12"/>
      <c r="E44" s="12"/>
      <c r="F44" s="12"/>
      <c r="H44" s="179"/>
    </row>
    <row r="45" spans="1:8">
      <c r="B45" s="12"/>
      <c r="C45" s="12"/>
      <c r="D45" s="12"/>
      <c r="E45" s="12"/>
      <c r="F45" s="12"/>
      <c r="H45" s="179"/>
    </row>
    <row r="46" spans="1:8">
      <c r="B46" s="12"/>
      <c r="C46" s="12"/>
      <c r="D46" s="12"/>
      <c r="E46" s="12"/>
      <c r="F46" s="12"/>
      <c r="H46" s="179"/>
    </row>
    <row r="47" spans="1:8">
      <c r="B47" s="12"/>
      <c r="C47" s="12"/>
      <c r="D47" s="12"/>
      <c r="E47" s="12"/>
      <c r="F47" s="12"/>
      <c r="H47" s="179"/>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topLeftCell="A49" zoomScale="90" zoomScaleNormal="90" zoomScaleSheetLayoutView="70" zoomScalePageLayoutView="85" workbookViewId="0">
      <selection activeCell="B61" sqref="B61:E61"/>
    </sheetView>
  </sheetViews>
  <sheetFormatPr defaultColWidth="11.42578125" defaultRowHeight="12.75"/>
  <cols>
    <col min="1" max="1" width="10.42578125" style="983" customWidth="1"/>
    <col min="2" max="2" width="52.42578125" style="964" customWidth="1"/>
    <col min="3" max="7" width="20.42578125" style="964" customWidth="1"/>
    <col min="8" max="8" width="23" style="964" customWidth="1"/>
    <col min="9" max="11" width="20.42578125" style="964" customWidth="1"/>
    <col min="12" max="12" width="20" style="964" customWidth="1"/>
    <col min="13" max="14" width="15.140625" style="964" customWidth="1"/>
    <col min="15" max="16384" width="11.42578125" style="964"/>
  </cols>
  <sheetData>
    <row r="1" spans="1:12" ht="15">
      <c r="A1" s="1488" t="s">
        <v>387</v>
      </c>
      <c r="B1" s="1488"/>
      <c r="C1" s="1488"/>
      <c r="D1" s="1488"/>
      <c r="E1" s="1488"/>
      <c r="F1" s="1488"/>
      <c r="G1" s="1488"/>
      <c r="H1" s="901"/>
    </row>
    <row r="2" spans="1:12" ht="15">
      <c r="A2" s="1489" t="str">
        <f>"Cost of Service Formula Rate Using Actual/Projected FF1 Balances"</f>
        <v>Cost of Service Formula Rate Using Actual/Projected FF1 Balances</v>
      </c>
      <c r="B2" s="1489"/>
      <c r="C2" s="1489"/>
      <c r="D2" s="1489"/>
      <c r="E2" s="1489"/>
      <c r="F2" s="1489"/>
      <c r="G2" s="1489"/>
      <c r="H2" s="965"/>
      <c r="I2" s="965"/>
      <c r="J2" s="965"/>
      <c r="L2" s="966"/>
    </row>
    <row r="3" spans="1:12" ht="15">
      <c r="A3" s="1489" t="s">
        <v>676</v>
      </c>
      <c r="B3" s="1489"/>
      <c r="C3" s="1489"/>
      <c r="D3" s="1489"/>
      <c r="E3" s="1489"/>
      <c r="F3" s="1489"/>
      <c r="G3" s="1489"/>
      <c r="H3" s="965"/>
      <c r="I3" s="965"/>
      <c r="J3" s="965"/>
    </row>
    <row r="4" spans="1:12" ht="15">
      <c r="A4" s="1496" t="str">
        <f>TCOS!F9</f>
        <v>Appalachian Power Company</v>
      </c>
      <c r="B4" s="1496"/>
      <c r="C4" s="1496"/>
      <c r="D4" s="1496"/>
      <c r="E4" s="1496"/>
      <c r="F4" s="1496"/>
      <c r="G4" s="1496"/>
      <c r="H4" s="965"/>
      <c r="I4" s="965"/>
      <c r="J4" s="965"/>
    </row>
    <row r="5" spans="1:12">
      <c r="A5" s="965"/>
      <c r="B5" s="967"/>
      <c r="C5" s="967"/>
      <c r="D5" s="967"/>
      <c r="E5" s="968"/>
      <c r="F5" s="969"/>
      <c r="H5"/>
      <c r="I5"/>
      <c r="J5"/>
      <c r="K5"/>
      <c r="L5"/>
    </row>
    <row r="6" spans="1:12" ht="12.75" customHeight="1">
      <c r="A6" s="901"/>
      <c r="B6" s="947"/>
      <c r="C6" s="1490" t="s">
        <v>6</v>
      </c>
      <c r="D6" s="1491"/>
      <c r="E6" s="1491"/>
      <c r="F6" s="1491"/>
      <c r="G6" s="1492"/>
      <c r="H6" s="6"/>
      <c r="I6"/>
      <c r="J6"/>
      <c r="K6"/>
      <c r="L6"/>
    </row>
    <row r="7" spans="1:12" s="971" customFormat="1" ht="38.25">
      <c r="A7" s="946" t="s">
        <v>650</v>
      </c>
      <c r="B7" s="945" t="s">
        <v>649</v>
      </c>
      <c r="C7" s="924" t="s">
        <v>677</v>
      </c>
      <c r="D7" s="923" t="s">
        <v>368</v>
      </c>
      <c r="E7" s="923" t="s">
        <v>678</v>
      </c>
      <c r="F7" s="923" t="s">
        <v>679</v>
      </c>
      <c r="G7" s="970" t="s">
        <v>6</v>
      </c>
      <c r="H7" s="6"/>
      <c r="I7"/>
      <c r="J7"/>
      <c r="K7"/>
      <c r="L7"/>
    </row>
    <row r="8" spans="1:12" s="973" customFormat="1">
      <c r="A8" s="912"/>
      <c r="B8" s="920" t="s">
        <v>644</v>
      </c>
      <c r="C8" s="921" t="s">
        <v>643</v>
      </c>
      <c r="D8" s="919" t="s">
        <v>642</v>
      </c>
      <c r="E8" s="919" t="s">
        <v>641</v>
      </c>
      <c r="F8" s="919" t="s">
        <v>640</v>
      </c>
      <c r="G8" s="972" t="s">
        <v>680</v>
      </c>
      <c r="H8" s="6"/>
      <c r="I8"/>
      <c r="J8"/>
      <c r="K8"/>
      <c r="L8"/>
    </row>
    <row r="9" spans="1:12" s="973" customFormat="1" ht="44.25" customHeight="1">
      <c r="A9" s="912"/>
      <c r="B9" s="920" t="s">
        <v>639</v>
      </c>
      <c r="C9" s="974" t="s">
        <v>681</v>
      </c>
      <c r="D9" s="942" t="s">
        <v>682</v>
      </c>
      <c r="E9" s="942" t="s">
        <v>683</v>
      </c>
      <c r="F9" s="942" t="s">
        <v>684</v>
      </c>
      <c r="G9" s="1303"/>
      <c r="H9" s="6"/>
      <c r="I9"/>
      <c r="J9"/>
      <c r="K9"/>
      <c r="L9"/>
    </row>
    <row r="10" spans="1:12">
      <c r="A10" s="912">
        <v>1</v>
      </c>
      <c r="B10" s="939" t="s">
        <v>637</v>
      </c>
      <c r="C10" s="975">
        <v>4172535335.6460028</v>
      </c>
      <c r="D10" s="975">
        <v>0</v>
      </c>
      <c r="E10" s="975">
        <v>-3463212.63</v>
      </c>
      <c r="F10" s="975">
        <v>5040772.0299999993</v>
      </c>
      <c r="G10" s="976">
        <f>+C10-D10-E10-F10</f>
        <v>4170957776.2460027</v>
      </c>
      <c r="H10" s="6"/>
      <c r="I10"/>
      <c r="J10"/>
      <c r="K10"/>
      <c r="L10"/>
    </row>
    <row r="11" spans="1:12">
      <c r="A11" s="912">
        <f t="shared" ref="A11:A23" si="0">+A10+1</f>
        <v>2</v>
      </c>
      <c r="B11" s="939" t="s">
        <v>185</v>
      </c>
      <c r="C11" s="975">
        <v>4216519212.7589998</v>
      </c>
      <c r="D11" s="975">
        <v>0</v>
      </c>
      <c r="E11" s="975">
        <v>-3463212.63</v>
      </c>
      <c r="F11" s="975">
        <v>4966450.5099999988</v>
      </c>
      <c r="G11" s="976">
        <f t="shared" ref="G11:G22" si="1">+C11-D11-E11-F11</f>
        <v>4215015974.8789997</v>
      </c>
      <c r="H11" s="6"/>
      <c r="I11"/>
      <c r="J11"/>
      <c r="K11"/>
      <c r="L11"/>
    </row>
    <row r="12" spans="1:12">
      <c r="A12" s="912">
        <f t="shared" si="0"/>
        <v>3</v>
      </c>
      <c r="B12" s="938" t="s">
        <v>559</v>
      </c>
      <c r="C12" s="975">
        <v>4201116916.8969994</v>
      </c>
      <c r="D12" s="975">
        <v>0</v>
      </c>
      <c r="E12" s="975">
        <v>-3463212.63</v>
      </c>
      <c r="F12" s="975">
        <v>4892128.9999999991</v>
      </c>
      <c r="G12" s="976">
        <f t="shared" si="1"/>
        <v>4199688000.5269995</v>
      </c>
      <c r="H12" s="6"/>
      <c r="I12"/>
      <c r="J12"/>
      <c r="K12"/>
      <c r="L12"/>
    </row>
    <row r="13" spans="1:12">
      <c r="A13" s="912">
        <f t="shared" si="0"/>
        <v>4</v>
      </c>
      <c r="B13" s="938" t="s">
        <v>636</v>
      </c>
      <c r="C13" s="975">
        <v>4232686382.9669981</v>
      </c>
      <c r="D13" s="975">
        <v>0</v>
      </c>
      <c r="E13" s="975">
        <v>-3463212.63</v>
      </c>
      <c r="F13" s="975">
        <v>-80527.749999999796</v>
      </c>
      <c r="G13" s="976">
        <f t="shared" si="1"/>
        <v>4236230123.3469982</v>
      </c>
      <c r="H13" s="6"/>
      <c r="I13"/>
      <c r="J13"/>
      <c r="K13"/>
      <c r="L13"/>
    </row>
    <row r="14" spans="1:12">
      <c r="A14" s="912">
        <f t="shared" si="0"/>
        <v>5</v>
      </c>
      <c r="B14" s="938" t="s">
        <v>187</v>
      </c>
      <c r="C14" s="975">
        <v>4245658386.8389997</v>
      </c>
      <c r="D14" s="975">
        <v>0</v>
      </c>
      <c r="E14" s="975">
        <v>-3463212.63</v>
      </c>
      <c r="F14" s="975">
        <v>-154849.27000000005</v>
      </c>
      <c r="G14" s="976">
        <f t="shared" si="1"/>
        <v>4249276448.7389998</v>
      </c>
      <c r="H14" s="6"/>
      <c r="I14"/>
      <c r="J14"/>
      <c r="K14"/>
      <c r="L14"/>
    </row>
    <row r="15" spans="1:12">
      <c r="A15" s="912">
        <f t="shared" si="0"/>
        <v>6</v>
      </c>
      <c r="B15" s="938" t="s">
        <v>188</v>
      </c>
      <c r="C15" s="975">
        <v>4224321841.6879992</v>
      </c>
      <c r="D15" s="975">
        <v>0</v>
      </c>
      <c r="E15" s="975">
        <v>-3463212.63</v>
      </c>
      <c r="F15" s="975">
        <v>-229170.78000000003</v>
      </c>
      <c r="G15" s="976">
        <f t="shared" si="1"/>
        <v>4228014225.0979996</v>
      </c>
      <c r="H15" s="6"/>
      <c r="I15"/>
      <c r="J15"/>
      <c r="K15"/>
      <c r="L15"/>
    </row>
    <row r="16" spans="1:12">
      <c r="A16" s="912">
        <f t="shared" si="0"/>
        <v>7</v>
      </c>
      <c r="B16" s="938" t="s">
        <v>382</v>
      </c>
      <c r="C16" s="975">
        <v>4262200605.7940035</v>
      </c>
      <c r="D16" s="975">
        <v>0</v>
      </c>
      <c r="E16" s="975">
        <v>-3463212.63</v>
      </c>
      <c r="F16" s="975">
        <v>-1898242.9600000002</v>
      </c>
      <c r="G16" s="976">
        <f t="shared" si="1"/>
        <v>4267562061.3840036</v>
      </c>
      <c r="H16" s="6"/>
      <c r="I16"/>
      <c r="J16"/>
      <c r="K16"/>
      <c r="L16"/>
    </row>
    <row r="17" spans="1:12">
      <c r="A17" s="912">
        <f t="shared" si="0"/>
        <v>8</v>
      </c>
      <c r="B17" s="938" t="s">
        <v>189</v>
      </c>
      <c r="C17" s="975">
        <v>4321931067.7169991</v>
      </c>
      <c r="D17" s="975">
        <v>0</v>
      </c>
      <c r="E17" s="975">
        <v>-3463212.63</v>
      </c>
      <c r="F17" s="975">
        <v>-1972564.4600000007</v>
      </c>
      <c r="G17" s="976">
        <f t="shared" si="1"/>
        <v>4327366844.8069992</v>
      </c>
      <c r="H17" s="6"/>
      <c r="I17"/>
      <c r="J17"/>
      <c r="K17"/>
      <c r="L17"/>
    </row>
    <row r="18" spans="1:12">
      <c r="A18" s="912">
        <f t="shared" si="0"/>
        <v>9</v>
      </c>
      <c r="B18" s="938" t="s">
        <v>635</v>
      </c>
      <c r="C18" s="975">
        <v>4315144052.1750002</v>
      </c>
      <c r="D18" s="975">
        <v>0</v>
      </c>
      <c r="E18" s="975">
        <v>-3463212.63</v>
      </c>
      <c r="F18" s="975">
        <v>-2046886.0000000002</v>
      </c>
      <c r="G18" s="976">
        <f t="shared" si="1"/>
        <v>4320654150.8050003</v>
      </c>
      <c r="H18" s="6"/>
      <c r="I18"/>
      <c r="J18"/>
      <c r="K18"/>
      <c r="L18"/>
    </row>
    <row r="19" spans="1:12">
      <c r="A19" s="912">
        <f t="shared" si="0"/>
        <v>10</v>
      </c>
      <c r="B19" s="938" t="s">
        <v>192</v>
      </c>
      <c r="C19" s="975">
        <v>4328442270.0449991</v>
      </c>
      <c r="D19" s="975">
        <v>0</v>
      </c>
      <c r="E19" s="975">
        <v>-3463212.63</v>
      </c>
      <c r="F19" s="975">
        <v>-2204629.35</v>
      </c>
      <c r="G19" s="976">
        <f t="shared" si="1"/>
        <v>4334110112.0249996</v>
      </c>
      <c r="H19" s="6"/>
      <c r="I19"/>
      <c r="J19"/>
      <c r="K19"/>
      <c r="L19"/>
    </row>
    <row r="20" spans="1:12">
      <c r="A20" s="912">
        <f t="shared" si="0"/>
        <v>11</v>
      </c>
      <c r="B20" s="938" t="s">
        <v>560</v>
      </c>
      <c r="C20" s="975">
        <v>4329109272.1900005</v>
      </c>
      <c r="D20" s="975">
        <v>0</v>
      </c>
      <c r="E20" s="975">
        <v>-3463212.63</v>
      </c>
      <c r="F20" s="975">
        <v>-2278950.87</v>
      </c>
      <c r="G20" s="976">
        <f t="shared" si="1"/>
        <v>4334851435.6900005</v>
      </c>
      <c r="H20" s="6"/>
      <c r="I20"/>
      <c r="J20"/>
      <c r="K20"/>
      <c r="L20"/>
    </row>
    <row r="21" spans="1:12">
      <c r="A21" s="912">
        <f t="shared" si="0"/>
        <v>12</v>
      </c>
      <c r="B21" s="938" t="s">
        <v>561</v>
      </c>
      <c r="C21" s="975">
        <v>4300144357.4859962</v>
      </c>
      <c r="D21" s="975">
        <v>0</v>
      </c>
      <c r="E21" s="975">
        <v>-3463212.63</v>
      </c>
      <c r="F21" s="975">
        <v>-2353272.38</v>
      </c>
      <c r="G21" s="976">
        <f t="shared" si="1"/>
        <v>4305960842.4959965</v>
      </c>
      <c r="H21" s="6"/>
      <c r="I21"/>
      <c r="J21"/>
      <c r="K21"/>
      <c r="L21"/>
    </row>
    <row r="22" spans="1:12">
      <c r="A22" s="910">
        <f t="shared" si="0"/>
        <v>13</v>
      </c>
      <c r="B22" s="937" t="s">
        <v>634</v>
      </c>
      <c r="C22" s="975">
        <v>4345141416.0629997</v>
      </c>
      <c r="D22" s="975">
        <v>0</v>
      </c>
      <c r="E22" s="975">
        <v>-3463212.63</v>
      </c>
      <c r="F22" s="975">
        <v>7921383.3800000008</v>
      </c>
      <c r="G22" s="976">
        <f t="shared" si="1"/>
        <v>4340683245.3129997</v>
      </c>
      <c r="H22" s="6"/>
      <c r="I22"/>
      <c r="J22"/>
      <c r="K22"/>
      <c r="L22"/>
    </row>
    <row r="23" spans="1:12" ht="13.5" thickBot="1">
      <c r="A23" s="935">
        <f t="shared" si="0"/>
        <v>14</v>
      </c>
      <c r="B23" s="934" t="s">
        <v>865</v>
      </c>
      <c r="C23" s="904">
        <f>SUM(C10:C22)/13</f>
        <v>4268842393.7127695</v>
      </c>
      <c r="D23" s="903">
        <f>SUM(D10:D22)/13</f>
        <v>0</v>
      </c>
      <c r="E23" s="903">
        <f>SUM(E10:E22)/13</f>
        <v>-3463212.6300000004</v>
      </c>
      <c r="F23" s="903">
        <f>SUM(F10:F22)/13</f>
        <v>738587.77692307695</v>
      </c>
      <c r="G23" s="977">
        <f>SUM(G10:G22)/13</f>
        <v>4271567018.5658464</v>
      </c>
      <c r="H23" s="6"/>
      <c r="I23"/>
      <c r="J23"/>
      <c r="K23"/>
      <c r="L23"/>
    </row>
    <row r="24" spans="1:12" ht="13.5" thickTop="1">
      <c r="A24" s="901"/>
      <c r="B24" s="900"/>
      <c r="C24" s="931"/>
      <c r="D24" s="898"/>
      <c r="E24" s="898"/>
      <c r="F24" s="898"/>
      <c r="G24" s="931"/>
      <c r="H24" s="931"/>
      <c r="I24"/>
      <c r="J24"/>
      <c r="K24"/>
      <c r="L24"/>
    </row>
    <row r="25" spans="1:12" ht="12.75" customHeight="1">
      <c r="A25" s="901"/>
      <c r="B25" s="947"/>
      <c r="C25" s="1553" t="s">
        <v>685</v>
      </c>
      <c r="D25" s="1554"/>
      <c r="E25" s="1554"/>
      <c r="F25" s="1554"/>
      <c r="G25" s="1554"/>
      <c r="H25" s="1555"/>
      <c r="I25"/>
      <c r="J25"/>
      <c r="K25"/>
      <c r="L25"/>
    </row>
    <row r="26" spans="1:12" s="971" customFormat="1" ht="38.25">
      <c r="A26" s="946" t="s">
        <v>650</v>
      </c>
      <c r="B26" s="945" t="s">
        <v>649</v>
      </c>
      <c r="C26" s="924" t="s">
        <v>697</v>
      </c>
      <c r="D26" s="923" t="s">
        <v>696</v>
      </c>
      <c r="E26" s="923" t="s">
        <v>695</v>
      </c>
      <c r="F26" s="923" t="s">
        <v>694</v>
      </c>
      <c r="G26" s="923" t="s">
        <v>686</v>
      </c>
      <c r="H26" s="970" t="s">
        <v>630</v>
      </c>
      <c r="I26"/>
      <c r="J26"/>
      <c r="K26"/>
      <c r="L26"/>
    </row>
    <row r="27" spans="1:12" s="973" customFormat="1">
      <c r="A27" s="912"/>
      <c r="B27" s="920" t="s">
        <v>644</v>
      </c>
      <c r="C27" s="921" t="s">
        <v>643</v>
      </c>
      <c r="D27" s="919" t="s">
        <v>642</v>
      </c>
      <c r="E27" s="919" t="s">
        <v>641</v>
      </c>
      <c r="F27" s="919" t="s">
        <v>640</v>
      </c>
      <c r="G27" s="919" t="s">
        <v>662</v>
      </c>
      <c r="H27" s="972" t="s">
        <v>687</v>
      </c>
      <c r="I27"/>
      <c r="J27"/>
      <c r="K27"/>
      <c r="L27"/>
    </row>
    <row r="28" spans="1:12" s="973" customFormat="1" ht="44.25" customHeight="1">
      <c r="A28" s="912"/>
      <c r="B28" s="920" t="s">
        <v>639</v>
      </c>
      <c r="C28" s="974" t="s">
        <v>688</v>
      </c>
      <c r="D28" s="942" t="s">
        <v>689</v>
      </c>
      <c r="E28" s="942" t="s">
        <v>690</v>
      </c>
      <c r="F28" s="942" t="s">
        <v>691</v>
      </c>
      <c r="G28" s="942" t="s">
        <v>692</v>
      </c>
      <c r="H28" s="978"/>
      <c r="I28"/>
      <c r="J28"/>
      <c r="K28"/>
      <c r="L28"/>
    </row>
    <row r="29" spans="1:12">
      <c r="A29" s="912">
        <f>+A23+1</f>
        <v>15</v>
      </c>
      <c r="B29" s="939" t="s">
        <v>637</v>
      </c>
      <c r="C29" s="975">
        <v>250362437.99000001</v>
      </c>
      <c r="D29" s="975">
        <v>0</v>
      </c>
      <c r="E29" s="975">
        <v>0</v>
      </c>
      <c r="F29" s="975">
        <v>4150570347.0300002</v>
      </c>
      <c r="G29" s="975">
        <v>0</v>
      </c>
      <c r="H29" s="976">
        <f t="shared" ref="H29:H41" si="2">+C29-D29+E29+F29-G29</f>
        <v>4400932785.0200005</v>
      </c>
      <c r="I29"/>
      <c r="J29"/>
      <c r="K29"/>
      <c r="L29"/>
    </row>
    <row r="30" spans="1:12">
      <c r="A30" s="912">
        <f t="shared" ref="A30:A42" si="3">+A29+1</f>
        <v>16</v>
      </c>
      <c r="B30" s="939" t="s">
        <v>185</v>
      </c>
      <c r="C30" s="975">
        <v>250362437.99000001</v>
      </c>
      <c r="D30" s="975">
        <v>0</v>
      </c>
      <c r="E30" s="975">
        <v>0</v>
      </c>
      <c r="F30" s="975">
        <v>4150564529.3000002</v>
      </c>
      <c r="G30" s="975">
        <v>0</v>
      </c>
      <c r="H30" s="976">
        <f t="shared" si="2"/>
        <v>4400926967.29</v>
      </c>
      <c r="I30"/>
      <c r="J30"/>
      <c r="K30"/>
      <c r="L30"/>
    </row>
    <row r="31" spans="1:12">
      <c r="A31" s="912">
        <f t="shared" si="3"/>
        <v>17</v>
      </c>
      <c r="B31" s="938" t="s">
        <v>559</v>
      </c>
      <c r="C31" s="975">
        <v>238150914.99000001</v>
      </c>
      <c r="D31" s="975">
        <v>0</v>
      </c>
      <c r="E31" s="975">
        <v>0</v>
      </c>
      <c r="F31" s="975">
        <v>4150558644.5700002</v>
      </c>
      <c r="G31" s="975">
        <v>0</v>
      </c>
      <c r="H31" s="976">
        <f t="shared" si="2"/>
        <v>4388709559.5600004</v>
      </c>
      <c r="I31"/>
      <c r="J31"/>
      <c r="K31"/>
      <c r="L31"/>
    </row>
    <row r="32" spans="1:12">
      <c r="A32" s="912">
        <f t="shared" si="3"/>
        <v>18</v>
      </c>
      <c r="B32" s="938" t="s">
        <v>636</v>
      </c>
      <c r="C32" s="975">
        <v>238150914.99000001</v>
      </c>
      <c r="D32" s="975">
        <v>0</v>
      </c>
      <c r="E32" s="975">
        <v>0</v>
      </c>
      <c r="F32" s="975">
        <v>4150552692.8400002</v>
      </c>
      <c r="G32" s="975">
        <v>0</v>
      </c>
      <c r="H32" s="976">
        <f t="shared" si="2"/>
        <v>4388703607.8299999</v>
      </c>
      <c r="I32"/>
      <c r="J32"/>
      <c r="K32"/>
      <c r="L32"/>
    </row>
    <row r="33" spans="1:12">
      <c r="A33" s="912">
        <f t="shared" si="3"/>
        <v>19</v>
      </c>
      <c r="B33" s="938" t="s">
        <v>187</v>
      </c>
      <c r="C33" s="975">
        <v>238150914.99000001</v>
      </c>
      <c r="D33" s="975">
        <v>0</v>
      </c>
      <c r="E33" s="975">
        <v>0</v>
      </c>
      <c r="F33" s="975">
        <v>4150540584.3800001</v>
      </c>
      <c r="G33" s="975">
        <v>0</v>
      </c>
      <c r="H33" s="976">
        <f t="shared" si="2"/>
        <v>4388691499.3699999</v>
      </c>
      <c r="I33"/>
      <c r="J33"/>
      <c r="K33"/>
      <c r="L33"/>
    </row>
    <row r="34" spans="1:12">
      <c r="A34" s="912">
        <f t="shared" si="3"/>
        <v>20</v>
      </c>
      <c r="B34" s="938" t="s">
        <v>188</v>
      </c>
      <c r="C34" s="975">
        <v>238150914.99000001</v>
      </c>
      <c r="D34" s="975">
        <v>0</v>
      </c>
      <c r="E34" s="975">
        <v>0</v>
      </c>
      <c r="F34" s="975">
        <v>4650534425.6499996</v>
      </c>
      <c r="G34" s="975">
        <v>0</v>
      </c>
      <c r="H34" s="976">
        <f t="shared" si="2"/>
        <v>4888685340.6399994</v>
      </c>
      <c r="I34"/>
      <c r="J34"/>
      <c r="K34"/>
      <c r="L34"/>
    </row>
    <row r="35" spans="1:12">
      <c r="A35" s="912">
        <f t="shared" si="3"/>
        <v>21</v>
      </c>
      <c r="B35" s="938" t="s">
        <v>382</v>
      </c>
      <c r="C35" s="975">
        <v>238150914.99000001</v>
      </c>
      <c r="D35" s="975">
        <v>0</v>
      </c>
      <c r="E35" s="975">
        <v>0</v>
      </c>
      <c r="F35" s="975">
        <v>4650534425.6499996</v>
      </c>
      <c r="G35" s="975">
        <v>0</v>
      </c>
      <c r="H35" s="976">
        <f t="shared" si="2"/>
        <v>4888685340.6399994</v>
      </c>
      <c r="I35"/>
      <c r="J35"/>
      <c r="K35"/>
      <c r="L35"/>
    </row>
    <row r="36" spans="1:12">
      <c r="A36" s="912">
        <f t="shared" si="3"/>
        <v>22</v>
      </c>
      <c r="B36" s="938" t="s">
        <v>189</v>
      </c>
      <c r="C36" s="975">
        <v>238150914.99000001</v>
      </c>
      <c r="D36" s="975">
        <v>0</v>
      </c>
      <c r="E36" s="975">
        <v>0</v>
      </c>
      <c r="F36" s="975">
        <v>4650528196.9200001</v>
      </c>
      <c r="G36" s="975">
        <v>0</v>
      </c>
      <c r="H36" s="976">
        <f t="shared" si="2"/>
        <v>4888679111.9099998</v>
      </c>
      <c r="I36"/>
      <c r="J36"/>
      <c r="K36"/>
      <c r="L36"/>
    </row>
    <row r="37" spans="1:12">
      <c r="A37" s="912">
        <f t="shared" si="3"/>
        <v>23</v>
      </c>
      <c r="B37" s="938" t="s">
        <v>635</v>
      </c>
      <c r="C37" s="975">
        <v>225471912.99000001</v>
      </c>
      <c r="D37" s="975">
        <v>0</v>
      </c>
      <c r="E37" s="975">
        <v>0</v>
      </c>
      <c r="F37" s="975">
        <v>4650521897.1900005</v>
      </c>
      <c r="G37" s="975">
        <v>0</v>
      </c>
      <c r="H37" s="976">
        <f t="shared" si="2"/>
        <v>4875993810.1800003</v>
      </c>
      <c r="I37"/>
      <c r="J37"/>
      <c r="K37"/>
      <c r="L37"/>
    </row>
    <row r="38" spans="1:12">
      <c r="A38" s="912">
        <f t="shared" si="3"/>
        <v>24</v>
      </c>
      <c r="B38" s="938" t="s">
        <v>192</v>
      </c>
      <c r="C38" s="975">
        <v>225471912.99000001</v>
      </c>
      <c r="D38" s="975">
        <v>0</v>
      </c>
      <c r="E38" s="975">
        <v>0</v>
      </c>
      <c r="F38" s="975">
        <v>4650515525.46</v>
      </c>
      <c r="G38" s="975">
        <v>0</v>
      </c>
      <c r="H38" s="976">
        <f t="shared" si="2"/>
        <v>4875987438.4499998</v>
      </c>
      <c r="I38"/>
      <c r="J38"/>
      <c r="K38"/>
      <c r="L38"/>
    </row>
    <row r="39" spans="1:12">
      <c r="A39" s="912">
        <f t="shared" si="3"/>
        <v>25</v>
      </c>
      <c r="B39" s="938" t="s">
        <v>560</v>
      </c>
      <c r="C39" s="975">
        <v>225471912.99000001</v>
      </c>
      <c r="D39" s="975">
        <v>0</v>
      </c>
      <c r="E39" s="975">
        <v>0</v>
      </c>
      <c r="F39" s="975">
        <v>4650509080.7300005</v>
      </c>
      <c r="G39" s="975">
        <v>0</v>
      </c>
      <c r="H39" s="976">
        <f t="shared" si="2"/>
        <v>4875980993.7200003</v>
      </c>
      <c r="I39"/>
      <c r="J39"/>
      <c r="K39"/>
      <c r="L39"/>
    </row>
    <row r="40" spans="1:12">
      <c r="A40" s="912">
        <f t="shared" si="3"/>
        <v>26</v>
      </c>
      <c r="B40" s="938" t="s">
        <v>561</v>
      </c>
      <c r="C40" s="975">
        <v>225471912.99000001</v>
      </c>
      <c r="D40" s="975">
        <v>0</v>
      </c>
      <c r="E40" s="975">
        <v>0</v>
      </c>
      <c r="F40" s="975">
        <v>4650502562</v>
      </c>
      <c r="G40" s="975">
        <v>0</v>
      </c>
      <c r="H40" s="976">
        <f t="shared" si="2"/>
        <v>4875974474.9899998</v>
      </c>
      <c r="I40"/>
      <c r="J40"/>
      <c r="K40"/>
      <c r="L40"/>
    </row>
    <row r="41" spans="1:12">
      <c r="A41" s="910">
        <f t="shared" si="3"/>
        <v>27</v>
      </c>
      <c r="B41" s="937" t="s">
        <v>634</v>
      </c>
      <c r="C41" s="975">
        <v>225471912.99000001</v>
      </c>
      <c r="D41" s="975">
        <v>0</v>
      </c>
      <c r="E41" s="975">
        <v>0</v>
      </c>
      <c r="F41" s="975">
        <v>4650495969.2700005</v>
      </c>
      <c r="G41" s="975">
        <v>0</v>
      </c>
      <c r="H41" s="976">
        <f t="shared" si="2"/>
        <v>4875967882.2600002</v>
      </c>
      <c r="I41"/>
      <c r="J41"/>
      <c r="K41"/>
      <c r="L41"/>
    </row>
    <row r="42" spans="1:12" ht="13.5" thickBot="1">
      <c r="A42" s="935">
        <f t="shared" si="3"/>
        <v>28</v>
      </c>
      <c r="B42" s="934" t="s">
        <v>865</v>
      </c>
      <c r="C42" s="904">
        <f t="shared" ref="C42:H42" si="4">SUM(C29:C41)/13</f>
        <v>235153071.60538453</v>
      </c>
      <c r="D42" s="903">
        <f t="shared" si="4"/>
        <v>0</v>
      </c>
      <c r="E42" s="903">
        <f t="shared" si="4"/>
        <v>0</v>
      </c>
      <c r="F42" s="903">
        <f t="shared" si="4"/>
        <v>4458225298.537693</v>
      </c>
      <c r="G42" s="903">
        <f t="shared" si="4"/>
        <v>0</v>
      </c>
      <c r="H42" s="977">
        <f t="shared" si="4"/>
        <v>4693378370.1430769</v>
      </c>
      <c r="I42"/>
      <c r="J42"/>
      <c r="K42"/>
      <c r="L42"/>
    </row>
    <row r="43" spans="1:12" ht="13.5" thickTop="1">
      <c r="A43" s="965"/>
      <c r="B43" s="979"/>
      <c r="C43" s="980"/>
      <c r="D43" s="981"/>
      <c r="E43" s="981"/>
      <c r="F43" s="981"/>
      <c r="G43" s="980"/>
      <c r="H43" s="980"/>
      <c r="I43"/>
      <c r="J43"/>
      <c r="K43"/>
      <c r="L43"/>
    </row>
    <row r="44" spans="1:12" ht="12.75" customHeight="1">
      <c r="A44" s="982" t="s">
        <v>693</v>
      </c>
      <c r="F44" s="584"/>
      <c r="G44" s="584"/>
      <c r="H44" s="584"/>
      <c r="I44"/>
      <c r="J44"/>
      <c r="K44"/>
    </row>
    <row r="45" spans="1:12">
      <c r="E45" s="584"/>
      <c r="F45" s="584"/>
      <c r="G45" s="584"/>
      <c r="H45" s="584"/>
      <c r="J45" s="979"/>
    </row>
    <row r="46" spans="1:12" ht="15">
      <c r="A46" s="984" t="s">
        <v>7</v>
      </c>
      <c r="E46" s="584"/>
      <c r="F46" s="584"/>
      <c r="G46" s="584"/>
      <c r="H46" s="901"/>
    </row>
    <row r="47" spans="1:12" ht="15">
      <c r="A47" s="984"/>
      <c r="B47" s="985" t="s">
        <v>644</v>
      </c>
      <c r="C47" s="985" t="s">
        <v>643</v>
      </c>
      <c r="D47" s="986" t="s">
        <v>642</v>
      </c>
      <c r="E47" s="985" t="s">
        <v>641</v>
      </c>
      <c r="F47" s="986" t="s">
        <v>640</v>
      </c>
      <c r="G47" s="985" t="s">
        <v>662</v>
      </c>
      <c r="H47" s="985" t="s">
        <v>663</v>
      </c>
    </row>
    <row r="48" spans="1:12">
      <c r="A48" s="657">
        <f>+A42+1</f>
        <v>29</v>
      </c>
      <c r="B48" s="987" t="str">
        <f>"Annual Interest Expense for "&amp;TCOS!L4</f>
        <v>Annual Interest Expense for 2020</v>
      </c>
      <c r="C48" s="988"/>
      <c r="D48" s="989"/>
      <c r="E48" s="990"/>
      <c r="F48" s="990"/>
      <c r="G48" s="990"/>
      <c r="H48" s="990"/>
      <c r="I48" s="990"/>
      <c r="J48" s="990"/>
      <c r="K48" s="990"/>
      <c r="L48" s="990"/>
    </row>
    <row r="49" spans="1:12">
      <c r="A49" s="657">
        <f t="shared" ref="A49:A56" si="5">+A48+1</f>
        <v>30</v>
      </c>
      <c r="B49" s="1137" t="s">
        <v>765</v>
      </c>
      <c r="C49" s="988"/>
      <c r="D49" s="989"/>
      <c r="E49" s="992">
        <v>211822330</v>
      </c>
      <c r="F49" s="990"/>
      <c r="G49" s="990"/>
      <c r="H49" s="990"/>
      <c r="I49" s="990"/>
      <c r="J49" s="990"/>
      <c r="K49" s="990"/>
      <c r="L49" s="990"/>
    </row>
    <row r="50" spans="1:12" ht="28.5" customHeight="1">
      <c r="A50" s="657">
        <f t="shared" si="5"/>
        <v>31</v>
      </c>
      <c r="B50" s="1547" t="str">
        <f>"Less: Total Hedge Gain/Expense Accumulated from p 256-257, col. (i) of FERC Form 1  included in Ln "&amp;A49&amp;" and shown in "&amp;A74&amp;" below."</f>
        <v>Less: Total Hedge Gain/Expense Accumulated from p 256-257, col. (i) of FERC Form 1  included in Ln 30 and shown in 50 below.</v>
      </c>
      <c r="C50" s="1548"/>
      <c r="D50" s="989"/>
      <c r="E50" s="988">
        <f>+C74</f>
        <v>-1128888</v>
      </c>
      <c r="F50" s="990"/>
      <c r="G50" s="990"/>
      <c r="H50" s="990"/>
      <c r="I50" s="990"/>
      <c r="J50" s="990"/>
      <c r="K50" s="990"/>
      <c r="L50" s="990"/>
    </row>
    <row r="51" spans="1:12" ht="16.5" customHeight="1">
      <c r="A51" s="657">
        <f t="shared" si="5"/>
        <v>32</v>
      </c>
      <c r="B51" s="993" t="str">
        <f>"Plus:  Allowed Hedge Recovery From Ln "&amp;A80&amp;"  below."</f>
        <v>Plus:  Allowed Hedge Recovery From Ln 55  below.</v>
      </c>
      <c r="C51" s="1138"/>
      <c r="D51" s="989"/>
      <c r="E51" s="994">
        <f>+E80</f>
        <v>-1128888</v>
      </c>
      <c r="F51" s="990"/>
      <c r="G51" s="990"/>
      <c r="H51" s="990"/>
      <c r="I51" s="990"/>
      <c r="J51" s="990"/>
      <c r="K51" s="990"/>
      <c r="L51" s="990"/>
    </row>
    <row r="52" spans="1:12">
      <c r="A52" s="657">
        <f t="shared" si="5"/>
        <v>33</v>
      </c>
      <c r="B52" s="1137" t="s">
        <v>766</v>
      </c>
      <c r="C52" s="1139"/>
      <c r="D52" s="995"/>
      <c r="E52" s="992">
        <v>3761971</v>
      </c>
      <c r="F52" s="990"/>
      <c r="G52" s="990"/>
      <c r="H52" s="990"/>
      <c r="I52" s="990"/>
      <c r="J52" s="990"/>
    </row>
    <row r="53" spans="1:12">
      <c r="A53" s="657">
        <f t="shared" si="5"/>
        <v>34</v>
      </c>
      <c r="B53" s="1137" t="s">
        <v>767</v>
      </c>
      <c r="C53" s="996"/>
      <c r="D53" s="989"/>
      <c r="E53" s="992">
        <v>3800583</v>
      </c>
      <c r="F53" s="990"/>
      <c r="G53" s="990"/>
      <c r="H53" s="990"/>
      <c r="I53" s="990"/>
      <c r="J53" s="990"/>
    </row>
    <row r="54" spans="1:12">
      <c r="A54" s="657">
        <f t="shared" si="5"/>
        <v>35</v>
      </c>
      <c r="B54" s="1137" t="s">
        <v>768</v>
      </c>
      <c r="C54" s="996"/>
      <c r="D54" s="989"/>
      <c r="E54" s="992"/>
      <c r="F54" s="990"/>
      <c r="G54" s="990"/>
      <c r="H54" s="990"/>
      <c r="I54" s="990"/>
      <c r="J54" s="990"/>
    </row>
    <row r="55" spans="1:12" ht="13.5" thickBot="1">
      <c r="A55" s="657">
        <f t="shared" si="5"/>
        <v>36</v>
      </c>
      <c r="B55" s="1137" t="s">
        <v>769</v>
      </c>
      <c r="C55" s="996"/>
      <c r="D55" s="989"/>
      <c r="E55" s="997"/>
      <c r="F55" s="990"/>
      <c r="G55" s="990"/>
      <c r="H55" s="990"/>
      <c r="I55" s="990"/>
      <c r="J55" s="990"/>
    </row>
    <row r="56" spans="1:12">
      <c r="A56" s="657">
        <f t="shared" si="5"/>
        <v>37</v>
      </c>
      <c r="B56" s="987" t="str">
        <f>"Total Interest Expense (Ln "&amp;A49&amp;" - "&amp;A50&amp;" + "&amp;A51&amp;" + "&amp;A52&amp;" + "&amp;A53&amp;" - "&amp;A54&amp;" - "&amp;A55&amp;")"</f>
        <v>Total Interest Expense (Ln 30 - 31 + 32 + 33 + 34 - 35 - 36)</v>
      </c>
      <c r="C56" s="998"/>
      <c r="D56" s="999"/>
      <c r="E56" s="1000">
        <f>+E49-E50+E51+E52+E53-E54-E55</f>
        <v>219384884</v>
      </c>
      <c r="F56" s="990"/>
      <c r="G56" s="990"/>
      <c r="H56" s="990"/>
      <c r="I56" s="990"/>
      <c r="J56" s="990"/>
    </row>
    <row r="57" spans="1:12" ht="13.5" thickBot="1">
      <c r="A57" s="657"/>
      <c r="B57" s="991"/>
      <c r="C57" s="996"/>
      <c r="D57" s="989"/>
      <c r="E57" s="1000"/>
      <c r="F57" s="990"/>
      <c r="G57" s="990"/>
      <c r="H57" s="990"/>
      <c r="I57" s="990"/>
      <c r="J57" s="990"/>
    </row>
    <row r="58" spans="1:12" ht="13.5" thickBot="1">
      <c r="A58" s="657">
        <f>+A56+1</f>
        <v>38</v>
      </c>
      <c r="B58" s="987" t="str">
        <f>"Average Cost of Debt for "&amp;TCOS!L4&amp;" (Ln "&amp;A56&amp;"/ ln "&amp;A42&amp;" (g))"</f>
        <v>Average Cost of Debt for 2020 (Ln 37/ ln 28 (g))</v>
      </c>
      <c r="C58" s="998"/>
      <c r="D58" s="989"/>
      <c r="E58" s="1001">
        <f>+E56/H42</f>
        <v>4.6743489805896918E-2</v>
      </c>
      <c r="F58" s="990"/>
      <c r="G58" s="990"/>
      <c r="H58" s="990"/>
      <c r="I58" s="990"/>
      <c r="J58" s="990"/>
    </row>
    <row r="59" spans="1:12">
      <c r="A59" s="1002"/>
      <c r="B59" s="991"/>
      <c r="C59" s="996"/>
      <c r="D59" s="989"/>
      <c r="E59" s="996"/>
      <c r="F59" s="990"/>
      <c r="G59" s="990"/>
      <c r="H59" s="990"/>
      <c r="I59" s="990"/>
      <c r="J59" s="990"/>
    </row>
    <row r="60" spans="1:12" s="1004" customFormat="1" ht="28.5" customHeight="1">
      <c r="A60" s="772"/>
      <c r="B60" s="1549" t="s">
        <v>0</v>
      </c>
      <c r="C60" s="1549"/>
      <c r="D60" s="1549"/>
      <c r="E60" s="1549"/>
      <c r="F60" s="773"/>
      <c r="G60" s="1003"/>
    </row>
    <row r="61" spans="1:12" s="1004" customFormat="1" ht="107.25" customHeight="1">
      <c r="A61" s="774">
        <f>+A58+1</f>
        <v>39</v>
      </c>
      <c r="B61" s="1550" t="s">
        <v>312</v>
      </c>
      <c r="C61" s="1551"/>
      <c r="D61" s="1551"/>
      <c r="E61" s="1551"/>
      <c r="F61" s="584"/>
      <c r="G61" s="1003"/>
    </row>
    <row r="62" spans="1:12" s="1004" customFormat="1" ht="12" customHeight="1">
      <c r="A62" s="772"/>
      <c r="B62" s="775"/>
      <c r="C62" s="775"/>
      <c r="D62" s="775"/>
      <c r="E62" s="775"/>
      <c r="F62" s="1003"/>
      <c r="G62" s="1552" t="s">
        <v>232</v>
      </c>
      <c r="H62" s="1552"/>
    </row>
    <row r="63" spans="1:12" s="1004" customFormat="1" ht="52.5" customHeight="1">
      <c r="A63" s="598"/>
      <c r="B63" s="1464" t="s">
        <v>359</v>
      </c>
      <c r="C63" s="1005" t="str">
        <f>"Total Hedge (Gain)/Loss for "&amp;TCOS!L4</f>
        <v>Total Hedge (Gain)/Loss for 2020</v>
      </c>
      <c r="D63" s="1005" t="str">
        <f>"Less Excludable Amounts (See NOTE on Line "&amp;A61&amp;")"</f>
        <v>Less Excludable Amounts (See NOTE on Line 39)</v>
      </c>
      <c r="E63" s="1005" t="s">
        <v>1</v>
      </c>
      <c r="F63" s="1005" t="s">
        <v>231</v>
      </c>
      <c r="G63" s="1005" t="s">
        <v>283</v>
      </c>
      <c r="H63" s="1005" t="s">
        <v>285</v>
      </c>
    </row>
    <row r="64" spans="1:12" s="1004" customFormat="1" ht="12.75" customHeight="1">
      <c r="A64" s="598">
        <f>+A61+1</f>
        <v>40</v>
      </c>
      <c r="B64" s="1006" t="s">
        <v>964</v>
      </c>
      <c r="C64" s="1305">
        <v>0</v>
      </c>
      <c r="D64" s="1006"/>
      <c r="E64" s="1007">
        <f t="shared" ref="E64:E72" si="6">+C64-D64</f>
        <v>0</v>
      </c>
      <c r="F64" s="1305">
        <v>0.24000000016530976</v>
      </c>
      <c r="G64" s="1306">
        <v>38353</v>
      </c>
      <c r="H64" s="1306">
        <v>41821</v>
      </c>
      <c r="I64" s="332"/>
      <c r="J64" s="332"/>
    </row>
    <row r="65" spans="1:8" s="1004" customFormat="1" ht="12.75" customHeight="1">
      <c r="A65" s="598">
        <f t="shared" ref="A65:A74" si="7">+A64+1</f>
        <v>41</v>
      </c>
      <c r="B65" s="1006" t="s">
        <v>965</v>
      </c>
      <c r="C65" s="1305"/>
      <c r="D65" s="1006"/>
      <c r="E65" s="1007">
        <f t="shared" si="6"/>
        <v>0</v>
      </c>
      <c r="F65" s="1305">
        <v>0.23999999975785613</v>
      </c>
      <c r="G65" s="1306">
        <v>38504</v>
      </c>
      <c r="H65" s="1306">
        <v>42125</v>
      </c>
    </row>
    <row r="66" spans="1:8" s="1004" customFormat="1" ht="12.75" customHeight="1">
      <c r="A66" s="598">
        <f t="shared" si="7"/>
        <v>42</v>
      </c>
      <c r="B66" s="1006" t="s">
        <v>966</v>
      </c>
      <c r="C66" s="1305">
        <v>0</v>
      </c>
      <c r="D66" s="1008"/>
      <c r="E66" s="1007">
        <f t="shared" si="6"/>
        <v>0</v>
      </c>
      <c r="F66" s="1305">
        <v>0</v>
      </c>
      <c r="G66" s="1306">
        <v>38596</v>
      </c>
      <c r="H66" s="1306">
        <v>42248</v>
      </c>
    </row>
    <row r="67" spans="1:8" s="1004" customFormat="1" ht="12.75" customHeight="1">
      <c r="A67" s="598">
        <f t="shared" si="7"/>
        <v>43</v>
      </c>
      <c r="B67" s="1006" t="s">
        <v>967</v>
      </c>
      <c r="C67" s="1305">
        <v>37071</v>
      </c>
      <c r="D67" s="1008"/>
      <c r="E67" s="1007">
        <f t="shared" si="6"/>
        <v>37071</v>
      </c>
      <c r="F67" s="1305">
        <v>457213</v>
      </c>
      <c r="G67" s="1306">
        <v>37742</v>
      </c>
      <c r="H67" s="1306">
        <v>48700</v>
      </c>
    </row>
    <row r="68" spans="1:8" s="1004" customFormat="1" ht="12.75" customHeight="1">
      <c r="A68" s="598">
        <f t="shared" si="7"/>
        <v>44</v>
      </c>
      <c r="B68" s="1006" t="s">
        <v>968</v>
      </c>
      <c r="C68" s="1305">
        <v>-194198</v>
      </c>
      <c r="D68" s="1006"/>
      <c r="E68" s="1007">
        <f t="shared" si="6"/>
        <v>-194198</v>
      </c>
      <c r="F68" s="1305">
        <v>-2961527</v>
      </c>
      <c r="G68" s="1306">
        <v>38808</v>
      </c>
      <c r="H68" s="1306">
        <v>49766</v>
      </c>
    </row>
    <row r="69" spans="1:8" s="1004" customFormat="1" ht="12.75" customHeight="1">
      <c r="A69" s="598">
        <f t="shared" si="7"/>
        <v>45</v>
      </c>
      <c r="B69" s="1006" t="s">
        <v>969</v>
      </c>
      <c r="C69" s="1305">
        <v>159671</v>
      </c>
      <c r="D69" s="1006"/>
      <c r="E69" s="1007">
        <f t="shared" si="6"/>
        <v>159671</v>
      </c>
      <c r="F69" s="1305">
        <v>2747663</v>
      </c>
      <c r="G69" s="1306">
        <v>39508</v>
      </c>
      <c r="H69" s="1306">
        <v>50496</v>
      </c>
    </row>
    <row r="70" spans="1:8" s="1004" customFormat="1" ht="12.75" customHeight="1">
      <c r="A70" s="598">
        <f t="shared" si="7"/>
        <v>46</v>
      </c>
      <c r="B70" s="1006" t="s">
        <v>970</v>
      </c>
      <c r="C70" s="1305">
        <v>0</v>
      </c>
      <c r="D70" s="1006"/>
      <c r="E70" s="1007">
        <f t="shared" si="6"/>
        <v>0</v>
      </c>
      <c r="F70" s="1305"/>
      <c r="G70" s="1306">
        <v>40322</v>
      </c>
      <c r="H70" s="1306">
        <v>42125</v>
      </c>
    </row>
    <row r="71" spans="1:8" s="1004" customFormat="1" ht="12.75" customHeight="1">
      <c r="A71" s="598">
        <f t="shared" si="7"/>
        <v>47</v>
      </c>
      <c r="B71" s="1006" t="s">
        <v>971</v>
      </c>
      <c r="C71" s="1305">
        <v>-1131432</v>
      </c>
      <c r="D71" s="1009"/>
      <c r="E71" s="1007">
        <f t="shared" si="6"/>
        <v>-1131432</v>
      </c>
      <c r="F71" s="1305">
        <v>-251430</v>
      </c>
      <c r="G71" s="1306">
        <v>40603</v>
      </c>
      <c r="H71" s="1306">
        <v>44256</v>
      </c>
    </row>
    <row r="72" spans="1:8" s="1004" customFormat="1" ht="12.75" customHeight="1">
      <c r="A72" s="598">
        <f t="shared" si="7"/>
        <v>48</v>
      </c>
      <c r="B72" s="1006"/>
      <c r="C72" s="1305"/>
      <c r="D72" s="992"/>
      <c r="E72" s="1007">
        <f t="shared" si="6"/>
        <v>0</v>
      </c>
      <c r="F72" s="1010"/>
      <c r="G72" s="1010"/>
      <c r="H72" s="1010"/>
    </row>
    <row r="73" spans="1:8" s="1004" customFormat="1" ht="12.75" customHeight="1">
      <c r="A73" s="598">
        <f t="shared" si="7"/>
        <v>49</v>
      </c>
      <c r="B73" s="541"/>
      <c r="C73" s="1011"/>
      <c r="D73" s="1011"/>
      <c r="E73" s="1012"/>
      <c r="F73" s="1007">
        <f>SUM(F64:F72)</f>
        <v>-8080.5200000000186</v>
      </c>
      <c r="G73" s="1003"/>
    </row>
    <row r="74" spans="1:8" s="1004" customFormat="1" ht="12.75" customHeight="1">
      <c r="A74" s="598">
        <f t="shared" si="7"/>
        <v>50</v>
      </c>
      <c r="B74" s="991" t="s">
        <v>8</v>
      </c>
      <c r="C74" s="1000">
        <f>SUM(C64:C72)</f>
        <v>-1128888</v>
      </c>
      <c r="D74" s="1000">
        <f>SUM(D64:D72)</f>
        <v>0</v>
      </c>
      <c r="F74" s="1003"/>
      <c r="G74" s="1003"/>
    </row>
    <row r="75" spans="1:8" s="1004" customFormat="1" ht="21" customHeight="1">
      <c r="A75" s="598"/>
      <c r="B75" s="991"/>
      <c r="C75" s="1000"/>
      <c r="D75" s="1000"/>
      <c r="E75" s="1000"/>
      <c r="F75" s="1003"/>
      <c r="G75" s="1003"/>
    </row>
    <row r="76" spans="1:8" s="1004" customFormat="1" ht="14.25" customHeight="1">
      <c r="A76" s="598">
        <f>+A74+1</f>
        <v>51</v>
      </c>
      <c r="B76" s="991" t="str">
        <f>"Hedge Gain or Loss Prior to Application of Recovery Limit (Sum of Lines "&amp;A64&amp;" to "&amp;A72&amp;")"</f>
        <v>Hedge Gain or Loss Prior to Application of Recovery Limit (Sum of Lines 40 to 48)</v>
      </c>
      <c r="C76" s="1000"/>
      <c r="D76" s="1000"/>
      <c r="E76" s="1000">
        <f>SUM(E64:E72)</f>
        <v>-1128888</v>
      </c>
      <c r="F76" s="1003"/>
      <c r="G76" s="1003"/>
    </row>
    <row r="77" spans="1:8" s="1004" customFormat="1" ht="12.75" customHeight="1">
      <c r="A77" s="598">
        <f>+A76+1</f>
        <v>52</v>
      </c>
      <c r="B77" s="1013" t="str">
        <f>"Total Average Capital Structure Balance for "&amp;TCOS!L4&amp;" (TCOS, Ln "&amp;TCOS!B258&amp;")"</f>
        <v>Total Average Capital Structure Balance for 2020 (TCOS, Ln 157)</v>
      </c>
      <c r="C77" s="996"/>
      <c r="D77" s="989"/>
      <c r="E77" s="1014">
        <f>TCOS!G258</f>
        <v>8964945388.7089233</v>
      </c>
      <c r="F77" s="1003"/>
      <c r="G77" s="1003"/>
      <c r="H77" s="1015"/>
    </row>
    <row r="78" spans="1:8" s="1004" customFormat="1" ht="12.75" customHeight="1">
      <c r="A78" s="598">
        <f>+A77+1</f>
        <v>53</v>
      </c>
      <c r="B78" s="991" t="s">
        <v>489</v>
      </c>
      <c r="C78" s="996"/>
      <c r="D78" s="989"/>
      <c r="E78" s="1016">
        <v>5.0000000000000001E-4</v>
      </c>
      <c r="F78" s="1003"/>
      <c r="G78" s="1017"/>
    </row>
    <row r="79" spans="1:8" s="1004" customFormat="1" ht="12.75" customHeight="1" thickBot="1">
      <c r="A79" s="598">
        <f>+A78+1</f>
        <v>54</v>
      </c>
      <c r="B79" s="991" t="s">
        <v>490</v>
      </c>
      <c r="C79" s="996"/>
      <c r="D79" s="989"/>
      <c r="E79" s="1018">
        <f>+E77*E78</f>
        <v>4482472.6943544615</v>
      </c>
      <c r="F79" s="1003"/>
      <c r="G79" s="1003"/>
    </row>
    <row r="80" spans="1:8" s="1004" customFormat="1" ht="12.75" customHeight="1" thickBot="1">
      <c r="A80" s="598">
        <f>+A79+1</f>
        <v>55</v>
      </c>
      <c r="B80" s="987" t="str">
        <f>"Recoverable Hedge Amortization (Lesser of Ln "&amp;A76&amp;" or Ln "&amp;A79&amp;")"</f>
        <v>Recoverable Hedge Amortization (Lesser of Ln 51 or Ln 54)</v>
      </c>
      <c r="C80" s="996"/>
      <c r="D80" s="989"/>
      <c r="E80" s="1019">
        <f>+IF(E79&lt;E76,E79,E76)</f>
        <v>-1128888</v>
      </c>
      <c r="F80" s="1003"/>
      <c r="G80" s="1003"/>
    </row>
    <row r="81" spans="1:7" s="1004" customFormat="1" ht="12.75" customHeight="1">
      <c r="A81" s="598"/>
      <c r="B81" s="991"/>
      <c r="C81" s="996"/>
      <c r="D81" s="989"/>
      <c r="E81" s="996"/>
      <c r="F81" s="1003"/>
      <c r="G81" s="1003"/>
    </row>
    <row r="82" spans="1:7" s="1004" customFormat="1" ht="12.75" customHeight="1">
      <c r="A82" s="1020" t="s">
        <v>9</v>
      </c>
      <c r="B82" s="1021"/>
      <c r="C82" s="996"/>
      <c r="D82" s="989"/>
      <c r="E82" s="996"/>
      <c r="F82" s="1003"/>
      <c r="G82" s="1003"/>
    </row>
    <row r="83" spans="1:7" s="1004" customFormat="1" ht="12.75" customHeight="1">
      <c r="A83" s="598"/>
      <c r="B83" s="991"/>
      <c r="C83" s="996"/>
      <c r="D83" s="989"/>
      <c r="E83" s="996"/>
      <c r="F83" s="1003"/>
      <c r="G83" s="1003"/>
    </row>
    <row r="84" spans="1:7" s="1004" customFormat="1" ht="12.75" customHeight="1">
      <c r="A84" s="598"/>
      <c r="B84" s="1022" t="s">
        <v>258</v>
      </c>
      <c r="C84" s="1023"/>
      <c r="D84" s="1024"/>
      <c r="E84" s="1023" t="s">
        <v>506</v>
      </c>
      <c r="F84" s="1003"/>
      <c r="G84" s="1003"/>
    </row>
    <row r="85" spans="1:7" s="1004" customFormat="1" ht="12.75" customHeight="1">
      <c r="A85" s="598">
        <f>+A80+1</f>
        <v>56</v>
      </c>
      <c r="B85" s="989" t="str">
        <f>""&amp;C$85*100&amp;"% Series - "&amp;C$86&amp;" - Dividend Rate (p. 250-251)"</f>
        <v>0% Series - 0 - Dividend Rate (p. 250-251)</v>
      </c>
      <c r="C85" s="1025">
        <v>0</v>
      </c>
      <c r="D85" s="1025">
        <v>0</v>
      </c>
      <c r="E85" s="1023"/>
      <c r="F85" s="1003"/>
      <c r="G85" s="1003"/>
    </row>
    <row r="86" spans="1:7" s="1004" customFormat="1" ht="12.75" customHeight="1">
      <c r="A86" s="598">
        <f>+A85+1</f>
        <v>57</v>
      </c>
      <c r="B86" s="989" t="str">
        <f>""&amp;C$85*100&amp;"% Series - "&amp;C$86&amp;" - Par Value (p. 250-251)"</f>
        <v>0% Series - 0 - Par Value (p. 250-251)</v>
      </c>
      <c r="C86" s="1026">
        <v>0</v>
      </c>
      <c r="D86" s="1026">
        <v>0</v>
      </c>
      <c r="E86" s="1023"/>
      <c r="F86" s="1003"/>
      <c r="G86" s="1003"/>
    </row>
    <row r="87" spans="1:7" s="1004" customFormat="1" ht="12.75" customHeight="1">
      <c r="A87" s="598">
        <f>+A86+1</f>
        <v>58</v>
      </c>
      <c r="B87" s="989" t="str">
        <f>""&amp;C$85*100&amp;"% Series - "&amp;C$86&amp;" - Shares O/S (p.250-251) "</f>
        <v xml:space="preserve">0% Series - 0 - Shares O/S (p.250-251) </v>
      </c>
      <c r="C87" s="992">
        <v>0</v>
      </c>
      <c r="D87" s="992">
        <v>0</v>
      </c>
      <c r="E87" s="1027"/>
      <c r="F87" s="1003"/>
      <c r="G87" s="1003"/>
    </row>
    <row r="88" spans="1:7" s="1004" customFormat="1" ht="12.75" customHeight="1">
      <c r="A88" s="598">
        <f>+A87+1</f>
        <v>59</v>
      </c>
      <c r="B88" s="989" t="str">
        <f>""&amp;C$85*100&amp;"% Series - "&amp;C$86&amp;" - Monetary Value (Ln "&amp;A86&amp;" * Ln "&amp;A87&amp;")"</f>
        <v>0% Series - 0 - Monetary Value (Ln 57 * Ln 58)</v>
      </c>
      <c r="C88" s="1028">
        <f>+C87*C86</f>
        <v>0</v>
      </c>
      <c r="D88" s="1028">
        <f>+D87*D86</f>
        <v>0</v>
      </c>
      <c r="E88" s="1029">
        <f>IF(C88=D88=0,0,AVERAGE(C88:D88))</f>
        <v>0</v>
      </c>
      <c r="F88" s="1003"/>
      <c r="G88" s="1003"/>
    </row>
    <row r="89" spans="1:7" s="1004" customFormat="1" ht="12.75" customHeight="1">
      <c r="A89" s="598">
        <f>+A88+1</f>
        <v>60</v>
      </c>
      <c r="B89" s="989" t="str">
        <f>""&amp;C$85*100&amp;"% Series - "&amp;C$86&amp;" -  Dividend Amount (Ln "&amp;A85&amp;" * Ln "&amp;A88&amp;")"</f>
        <v>0% Series - 0 -  Dividend Amount (Ln 56 * Ln 59)</v>
      </c>
      <c r="C89" s="1028">
        <f>+C88*C85</f>
        <v>0</v>
      </c>
      <c r="D89" s="1028">
        <f>+D88*D85</f>
        <v>0</v>
      </c>
      <c r="E89" s="1029">
        <f>IF(C89=D89=0,0,AVERAGE(C89:D89))</f>
        <v>0</v>
      </c>
      <c r="F89" s="1003"/>
      <c r="G89" s="1003"/>
    </row>
    <row r="90" spans="1:7" s="1004" customFormat="1" ht="12.75" customHeight="1">
      <c r="A90" s="598"/>
      <c r="B90" s="989"/>
      <c r="C90" s="1028"/>
      <c r="D90" s="1017"/>
      <c r="E90" s="1030"/>
      <c r="F90" s="1003"/>
      <c r="G90" s="1003"/>
    </row>
    <row r="91" spans="1:7" s="1004" customFormat="1" ht="12.75" customHeight="1">
      <c r="A91" s="598">
        <f>+A89+1</f>
        <v>61</v>
      </c>
      <c r="B91" s="989" t="str">
        <f>""&amp;C$91*100&amp;"% Series - "&amp;C$92&amp;" - Dividend Rate (p. 250-251)"</f>
        <v>0% Series - 0 - Dividend Rate (p. 250-251)</v>
      </c>
      <c r="C91" s="1025">
        <v>0</v>
      </c>
      <c r="D91" s="1025">
        <v>0</v>
      </c>
      <c r="E91" s="1030"/>
      <c r="F91" s="1003"/>
      <c r="G91" s="1003"/>
    </row>
    <row r="92" spans="1:7" s="1004" customFormat="1" ht="12.75" customHeight="1">
      <c r="A92" s="598">
        <f>+A91+1</f>
        <v>62</v>
      </c>
      <c r="B92" s="989" t="str">
        <f>""&amp;C$91*100&amp;"% Series - "&amp;C$92&amp;" - Par Value (p. 250-251)"</f>
        <v>0% Series - 0 - Par Value (p. 250-251)</v>
      </c>
      <c r="C92" s="1026">
        <v>0</v>
      </c>
      <c r="D92" s="1026">
        <v>0</v>
      </c>
      <c r="E92" s="1030"/>
      <c r="F92" s="1003"/>
      <c r="G92" s="1003"/>
    </row>
    <row r="93" spans="1:7" s="1004" customFormat="1" ht="12.75" customHeight="1">
      <c r="A93" s="598">
        <f>+A92+1</f>
        <v>63</v>
      </c>
      <c r="B93" s="989" t="str">
        <f>""&amp;C$91*100&amp;"% Series - "&amp;C$92&amp;" - Shares O/S (p.250-251) "</f>
        <v xml:space="preserve">0% Series - 0 - Shares O/S (p.250-251) </v>
      </c>
      <c r="C93" s="992">
        <v>0</v>
      </c>
      <c r="D93" s="992">
        <v>0</v>
      </c>
      <c r="E93" s="1030"/>
      <c r="F93" s="1003"/>
      <c r="G93" s="1003"/>
    </row>
    <row r="94" spans="1:7" s="1004" customFormat="1" ht="12.75" customHeight="1">
      <c r="A94" s="598">
        <f>+A93+1</f>
        <v>64</v>
      </c>
      <c r="B94" s="989" t="str">
        <f>""&amp;C$91*100&amp;"% Series - "&amp;C$92&amp;" - Monetary Value (Ln "&amp;A92&amp;" * Ln "&amp;A93&amp;")"</f>
        <v>0% Series - 0 - Monetary Value (Ln 62 * Ln 63)</v>
      </c>
      <c r="C94" s="988">
        <f>+C93*C92</f>
        <v>0</v>
      </c>
      <c r="D94" s="988">
        <f>+D93*D92</f>
        <v>0</v>
      </c>
      <c r="E94" s="1029">
        <f>IF(C94=D94=0,0,AVERAGE(C94:D94))</f>
        <v>0</v>
      </c>
      <c r="F94" s="1003"/>
      <c r="G94" s="1003"/>
    </row>
    <row r="95" spans="1:7" s="1004" customFormat="1" ht="12.75" customHeight="1">
      <c r="A95" s="598">
        <f>+A94+1</f>
        <v>65</v>
      </c>
      <c r="B95" s="989" t="str">
        <f>""&amp;C$91*100&amp;"% Series - "&amp;C$92&amp;" -  Dividend Amount (Ln "&amp;A91&amp;" * Ln "&amp;A94&amp;")"</f>
        <v>0% Series - 0 -  Dividend Amount (Ln 61 * Ln 64)</v>
      </c>
      <c r="C95" s="988">
        <f>+C94*C91</f>
        <v>0</v>
      </c>
      <c r="D95" s="988">
        <f>+D94*D91</f>
        <v>0</v>
      </c>
      <c r="E95" s="1029">
        <f>IF(C95=D95=0,0,AVERAGE(C95:D95))</f>
        <v>0</v>
      </c>
      <c r="F95" s="1003"/>
      <c r="G95" s="1003"/>
    </row>
    <row r="96" spans="1:7" s="1004" customFormat="1" ht="12.75" customHeight="1">
      <c r="A96" s="598"/>
      <c r="B96" s="989"/>
      <c r="C96" s="988"/>
      <c r="D96" s="988"/>
      <c r="E96" s="1029"/>
      <c r="F96" s="1003"/>
      <c r="G96" s="1003"/>
    </row>
    <row r="97" spans="1:7" s="1004" customFormat="1" ht="12.75" customHeight="1">
      <c r="A97" s="598">
        <f>+A95+1</f>
        <v>66</v>
      </c>
      <c r="B97" s="989" t="str">
        <f>""&amp;C$97*100&amp;"% Series - "&amp;C$98&amp;" - Dividend Rate (p. 250-251)"</f>
        <v>0% Series - 0 - Dividend Rate (p. 250-251)</v>
      </c>
      <c r="C97" s="1025">
        <v>0</v>
      </c>
      <c r="D97" s="1025">
        <v>0</v>
      </c>
      <c r="E97" s="1029"/>
      <c r="F97" s="1003"/>
      <c r="G97" s="1003"/>
    </row>
    <row r="98" spans="1:7" s="1004" customFormat="1" ht="12.75" customHeight="1">
      <c r="A98" s="598">
        <f>+A97+1</f>
        <v>67</v>
      </c>
      <c r="B98" s="989" t="str">
        <f>""&amp;C$97*100&amp;"% Series - "&amp;C$98&amp;" - Par Value (p. 250-251)"</f>
        <v>0% Series - 0 - Par Value (p. 250-251)</v>
      </c>
      <c r="C98" s="1026">
        <v>0</v>
      </c>
      <c r="D98" s="1026">
        <v>0</v>
      </c>
      <c r="E98" s="1029"/>
      <c r="F98" s="1003"/>
      <c r="G98" s="1003"/>
    </row>
    <row r="99" spans="1:7" s="1004" customFormat="1" ht="12.75" customHeight="1">
      <c r="A99" s="598">
        <f>+A98+1</f>
        <v>68</v>
      </c>
      <c r="B99" s="989" t="str">
        <f>""&amp;C$97*100&amp;"% Series - "&amp;C$98&amp;" - Shares O/S (p.250-251) "</f>
        <v xml:space="preserve">0% Series - 0 - Shares O/S (p.250-251) </v>
      </c>
      <c r="C99" s="992">
        <v>0</v>
      </c>
      <c r="D99" s="992">
        <v>0</v>
      </c>
      <c r="E99" s="1030"/>
      <c r="F99" s="1003"/>
      <c r="G99" s="1003"/>
    </row>
    <row r="100" spans="1:7" s="1004" customFormat="1" ht="12.75" customHeight="1">
      <c r="A100" s="598">
        <f>+A99+1</f>
        <v>69</v>
      </c>
      <c r="B100" s="989" t="str">
        <f>""&amp;C$97*100&amp;"% Series - "&amp;C$98&amp;" - Monetary Value (Ln "&amp;A98&amp;" * Ln "&amp;A99&amp;")"</f>
        <v>0% Series - 0 - Monetary Value (Ln 67 * Ln 68)</v>
      </c>
      <c r="C100" s="988">
        <f>+C99*C98</f>
        <v>0</v>
      </c>
      <c r="D100" s="988">
        <f>+D99*D98</f>
        <v>0</v>
      </c>
      <c r="E100" s="1029">
        <f>IF(C100=D100=0,0,AVERAGE(C100:D100))</f>
        <v>0</v>
      </c>
      <c r="F100" s="1003"/>
      <c r="G100" s="1003"/>
    </row>
    <row r="101" spans="1:7" s="1004" customFormat="1" ht="12.75" customHeight="1">
      <c r="A101" s="598">
        <f>+A100+1</f>
        <v>70</v>
      </c>
      <c r="B101" s="989" t="str">
        <f>""&amp;C$97*100&amp;"% Series - "&amp;C$98&amp;" -  Dividend Amount (Ln "&amp;A97&amp;" * Ln "&amp;A100&amp;")"</f>
        <v>0% Series - 0 -  Dividend Amount (Ln 66 * Ln 69)</v>
      </c>
      <c r="C101" s="988">
        <f>+C100*C97</f>
        <v>0</v>
      </c>
      <c r="D101" s="988">
        <f>+D100*D97</f>
        <v>0</v>
      </c>
      <c r="E101" s="1029">
        <f>IF(C101=D101=0,0,AVERAGE(C101:D101))</f>
        <v>0</v>
      </c>
      <c r="F101" s="1003"/>
      <c r="G101" s="1003"/>
    </row>
    <row r="102" spans="1:7" s="1004" customFormat="1" ht="12.75" customHeight="1">
      <c r="A102" s="598"/>
      <c r="B102" s="989"/>
      <c r="C102" s="988"/>
      <c r="D102" s="988"/>
      <c r="E102" s="1003"/>
      <c r="F102" s="1003"/>
      <c r="G102" s="1003"/>
    </row>
    <row r="103" spans="1:7" s="1004" customFormat="1" ht="12.75" customHeight="1">
      <c r="A103" s="598">
        <f>+A101+1</f>
        <v>71</v>
      </c>
      <c r="B103" s="999" t="str">
        <f>"Balance of Preferred Stock (Lns "&amp;A88&amp;", "&amp;A94&amp;", "&amp;A100&amp;")"</f>
        <v>Balance of Preferred Stock (Lns 59, 64, 69)</v>
      </c>
      <c r="C103" s="988">
        <f>+C88+C94+C100</f>
        <v>0</v>
      </c>
      <c r="D103" s="988">
        <f>+D88+D94+D100</f>
        <v>0</v>
      </c>
      <c r="E103" s="1031">
        <f>+E88+E94+E100</f>
        <v>0</v>
      </c>
      <c r="F103" s="989" t="s">
        <v>313</v>
      </c>
      <c r="G103" s="1003"/>
    </row>
    <row r="104" spans="1:7" s="1004" customFormat="1" ht="12.75" customHeight="1" thickBot="1">
      <c r="A104" s="598">
        <f>+A103+1</f>
        <v>72</v>
      </c>
      <c r="B104" s="999" t="str">
        <f>"Dividends on Preferred Stock (Lns "&amp;A89&amp;", "&amp;A95&amp;", "&amp;A101&amp;")"</f>
        <v>Dividends on Preferred Stock (Lns 60, 65, 70)</v>
      </c>
      <c r="C104" s="1032">
        <f>+C95+C89+C101</f>
        <v>0</v>
      </c>
      <c r="D104" s="1032">
        <f>+D95+D89+D101</f>
        <v>0</v>
      </c>
      <c r="E104" s="1033">
        <f>+E101+E95+E89</f>
        <v>0</v>
      </c>
      <c r="F104" s="1003"/>
      <c r="G104" s="1003"/>
    </row>
    <row r="105" spans="1:7" s="1004" customFormat="1" ht="12.75" customHeight="1" thickBot="1">
      <c r="A105" s="598">
        <f>+A104+1</f>
        <v>73</v>
      </c>
      <c r="B105" s="1034" t="str">
        <f>"Average Cost of Preferred Stock (Ln "&amp;A104&amp;"/"&amp;A103&amp;")"</f>
        <v>Average Cost of Preferred Stock (Ln 72/71)</v>
      </c>
      <c r="C105" s="996">
        <f>IF(C103=0,0,C104/C103)</f>
        <v>0</v>
      </c>
      <c r="D105" s="996">
        <f>IF(D103=0,0,D104/D103)</f>
        <v>0</v>
      </c>
      <c r="E105" s="1001">
        <f>IF(E103=0,0,+E104/E103)</f>
        <v>0</v>
      </c>
      <c r="F105" s="1003"/>
      <c r="G105" s="1003"/>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893" t="s">
        <v>114</v>
      </c>
    </row>
    <row r="2" spans="1:21" ht="15.75">
      <c r="A2" s="893" t="s">
        <v>114</v>
      </c>
    </row>
    <row r="3" spans="1:21" ht="18">
      <c r="A3" s="1533" t="s">
        <v>387</v>
      </c>
      <c r="B3" s="1533"/>
      <c r="C3" s="1533"/>
      <c r="D3" s="1533"/>
      <c r="E3" s="1533"/>
      <c r="F3" s="1533"/>
      <c r="G3" s="1533"/>
      <c r="H3" s="1533"/>
      <c r="I3" s="1533"/>
      <c r="J3" s="1533"/>
      <c r="K3" s="1533"/>
      <c r="L3" s="1533"/>
      <c r="M3" s="1533"/>
      <c r="N3" s="1533"/>
      <c r="O3" s="1533"/>
    </row>
    <row r="4" spans="1:21" ht="18">
      <c r="A4" s="1532" t="str">
        <f>"Cost of Service Formula Rate Using Actual/Projected FF1 Balances"</f>
        <v>Cost of Service Formula Rate Using Actual/Projected FF1 Balances</v>
      </c>
      <c r="B4" s="1532"/>
      <c r="C4" s="1532"/>
      <c r="D4" s="1532"/>
      <c r="E4" s="1532"/>
      <c r="F4" s="1532"/>
      <c r="G4" s="1532"/>
      <c r="H4" s="1532"/>
      <c r="I4" s="1532"/>
      <c r="J4" s="1532"/>
      <c r="K4" s="1532"/>
      <c r="L4" s="1532"/>
      <c r="M4" s="1532"/>
      <c r="N4" s="1532"/>
      <c r="O4" s="1532"/>
    </row>
    <row r="5" spans="1:21" ht="18">
      <c r="A5" s="1532" t="s">
        <v>239</v>
      </c>
      <c r="B5" s="1532"/>
      <c r="C5" s="1532"/>
      <c r="D5" s="1532"/>
      <c r="E5" s="1532"/>
      <c r="F5" s="1532"/>
      <c r="G5" s="1532"/>
      <c r="H5" s="1532"/>
      <c r="I5" s="1532"/>
      <c r="J5" s="1532"/>
      <c r="K5" s="1532"/>
      <c r="L5" s="1532"/>
      <c r="M5" s="1532"/>
      <c r="N5" s="1532"/>
      <c r="O5" s="1532"/>
    </row>
    <row r="6" spans="1:21" ht="18">
      <c r="A6" s="1527" t="str">
        <f>+TCOS!F9</f>
        <v>Appalachian Power Company</v>
      </c>
      <c r="B6" s="1527"/>
      <c r="C6" s="1527"/>
      <c r="D6" s="1527"/>
      <c r="E6" s="1527"/>
      <c r="F6" s="1527"/>
      <c r="G6" s="1527"/>
      <c r="H6" s="1527"/>
      <c r="I6" s="1527"/>
      <c r="J6" s="1527"/>
      <c r="K6" s="1527"/>
      <c r="L6" s="1527"/>
      <c r="M6" s="1527"/>
      <c r="N6" s="1527"/>
      <c r="O6" s="1527"/>
    </row>
    <row r="7" spans="1:21" ht="12.75" customHeight="1">
      <c r="A7" s="159"/>
      <c r="B7" s="159"/>
      <c r="C7" s="159"/>
      <c r="D7" s="159"/>
      <c r="E7" s="159"/>
      <c r="F7" s="159"/>
      <c r="G7" s="159"/>
      <c r="H7" s="159"/>
      <c r="I7" s="159"/>
      <c r="J7" s="159"/>
      <c r="K7" s="159"/>
      <c r="L7" s="159"/>
    </row>
    <row r="8" spans="1:21" ht="12.75" customHeight="1">
      <c r="A8" s="1559" t="s">
        <v>390</v>
      </c>
      <c r="B8" s="1559"/>
      <c r="C8" s="1559"/>
      <c r="D8" s="1559"/>
      <c r="E8" s="1559"/>
      <c r="F8" s="1559"/>
      <c r="G8" s="1559"/>
      <c r="H8" s="1559"/>
      <c r="I8" s="1559"/>
      <c r="J8" s="1559"/>
      <c r="K8" s="1559"/>
      <c r="L8" s="1559"/>
      <c r="M8" s="1559"/>
      <c r="N8" s="1559"/>
      <c r="O8" s="1559"/>
    </row>
    <row r="9" spans="1:21" ht="12.75" customHeight="1">
      <c r="A9" s="1559"/>
      <c r="B9" s="1559"/>
      <c r="C9" s="1559"/>
      <c r="D9" s="1559"/>
      <c r="E9" s="1559"/>
      <c r="F9" s="1559"/>
      <c r="G9" s="1559"/>
      <c r="H9" s="1559"/>
      <c r="I9" s="1559"/>
      <c r="J9" s="1559"/>
      <c r="K9" s="1559"/>
      <c r="L9" s="1559"/>
      <c r="M9" s="1559"/>
      <c r="N9" s="1559"/>
      <c r="O9" s="1559"/>
    </row>
    <row r="10" spans="1:21">
      <c r="A10" s="1559"/>
      <c r="B10" s="1559"/>
      <c r="C10" s="1559"/>
      <c r="D10" s="1559"/>
      <c r="E10" s="1559"/>
      <c r="F10" s="1559"/>
      <c r="G10" s="1559"/>
      <c r="H10" s="1559"/>
      <c r="I10" s="1559"/>
      <c r="J10" s="1559"/>
      <c r="K10" s="1559"/>
      <c r="L10" s="1559"/>
      <c r="M10" s="1559"/>
      <c r="N10" s="1559"/>
      <c r="O10" s="1559"/>
    </row>
    <row r="11" spans="1:21">
      <c r="A11" s="1559"/>
      <c r="B11" s="1559"/>
      <c r="C11" s="1559"/>
      <c r="D11" s="1559"/>
      <c r="E11" s="1559"/>
      <c r="F11" s="1559"/>
      <c r="G11" s="1559"/>
      <c r="H11" s="1559"/>
      <c r="I11" s="1559"/>
      <c r="J11" s="1559"/>
      <c r="K11" s="1559"/>
      <c r="L11" s="1559"/>
      <c r="M11" s="1559"/>
      <c r="N11" s="1559"/>
      <c r="O11" s="1559"/>
    </row>
    <row r="12" spans="1:21">
      <c r="B12" s="1" t="s">
        <v>162</v>
      </c>
      <c r="C12" s="1"/>
      <c r="D12" s="1558" t="s">
        <v>163</v>
      </c>
      <c r="E12" s="1558"/>
      <c r="F12" s="1558"/>
      <c r="G12" s="1558"/>
      <c r="H12" s="1"/>
      <c r="I12" s="1" t="s">
        <v>4</v>
      </c>
      <c r="J12" s="1"/>
      <c r="K12" s="1" t="s">
        <v>165</v>
      </c>
      <c r="L12" s="1"/>
      <c r="M12" s="1" t="s">
        <v>84</v>
      </c>
      <c r="N12" s="1"/>
      <c r="O12" s="1" t="s">
        <v>85</v>
      </c>
      <c r="P12" s="1"/>
      <c r="Q12" s="1" t="s">
        <v>20</v>
      </c>
      <c r="R12" s="1"/>
      <c r="S12" s="1" t="s">
        <v>91</v>
      </c>
      <c r="T12" s="1"/>
      <c r="U12" s="102" t="s">
        <v>500</v>
      </c>
    </row>
    <row r="13" spans="1:21">
      <c r="I13" s="1556" t="s">
        <v>18</v>
      </c>
      <c r="Q13" s="1560" t="s">
        <v>19</v>
      </c>
      <c r="S13" s="1556" t="s">
        <v>21</v>
      </c>
      <c r="U13" s="292" t="s">
        <v>80</v>
      </c>
    </row>
    <row r="14" spans="1:21">
      <c r="A14" s="168" t="s">
        <v>17</v>
      </c>
      <c r="B14" s="168" t="s">
        <v>13</v>
      </c>
      <c r="C14" s="168"/>
      <c r="D14" s="211" t="s">
        <v>14</v>
      </c>
      <c r="E14" s="168"/>
      <c r="F14" s="168"/>
      <c r="G14" s="168"/>
      <c r="H14" s="168"/>
      <c r="I14" s="1557"/>
      <c r="J14" s="168"/>
      <c r="K14" s="168" t="s">
        <v>15</v>
      </c>
      <c r="L14" s="168"/>
      <c r="M14" s="168" t="s">
        <v>16</v>
      </c>
      <c r="N14" s="168"/>
      <c r="O14" s="168" t="s">
        <v>493</v>
      </c>
      <c r="Q14" s="1560"/>
      <c r="S14" s="1556"/>
      <c r="U14" s="292" t="s">
        <v>306</v>
      </c>
    </row>
    <row r="15" spans="1:21">
      <c r="A15" s="168"/>
      <c r="B15" s="168"/>
      <c r="C15" s="168"/>
      <c r="D15" s="211"/>
      <c r="E15" s="168"/>
      <c r="F15" s="168"/>
      <c r="G15" s="168"/>
      <c r="H15" s="168"/>
      <c r="I15" s="3" t="s">
        <v>491</v>
      </c>
      <c r="J15" s="168"/>
      <c r="K15" s="168"/>
      <c r="L15" s="168"/>
      <c r="M15" s="168"/>
      <c r="N15" s="168"/>
      <c r="O15" s="168"/>
      <c r="Q15" s="232"/>
      <c r="S15" s="168" t="s">
        <v>493</v>
      </c>
    </row>
    <row r="16" spans="1:21">
      <c r="I16" t="s">
        <v>492</v>
      </c>
    </row>
    <row r="17" spans="1:21">
      <c r="A17" s="1">
        <v>1</v>
      </c>
      <c r="B17" s="885"/>
      <c r="D17" s="1561"/>
      <c r="E17" s="1561"/>
      <c r="F17" s="1561"/>
      <c r="G17" s="1561"/>
      <c r="I17" s="886"/>
      <c r="K17" s="884"/>
      <c r="L17" s="134"/>
      <c r="M17" s="884"/>
      <c r="O17" s="177">
        <f>+K17-M17</f>
        <v>0</v>
      </c>
      <c r="Q17" s="218">
        <f>IF(I17="G",TCOS!L241,IF(I17="T",1,0))</f>
        <v>0</v>
      </c>
      <c r="S17" s="177">
        <f>ROUND(O17*Q17,0)</f>
        <v>0</v>
      </c>
      <c r="U17" s="887"/>
    </row>
    <row r="18" spans="1:21">
      <c r="A18" s="1"/>
      <c r="D18" s="1561"/>
      <c r="E18" s="1561"/>
      <c r="F18" s="1561"/>
      <c r="G18" s="1561"/>
      <c r="K18" s="134"/>
      <c r="L18" s="134"/>
      <c r="M18" s="134"/>
      <c r="O18" s="134"/>
      <c r="Q18" s="218"/>
      <c r="S18" s="134"/>
    </row>
    <row r="19" spans="1:21">
      <c r="A19" s="1"/>
      <c r="D19" s="1561"/>
      <c r="E19" s="1561"/>
      <c r="F19" s="1561"/>
      <c r="G19" s="1561"/>
      <c r="K19" s="134"/>
      <c r="L19" s="134"/>
      <c r="M19" s="134"/>
      <c r="O19" s="134"/>
      <c r="Q19" s="218"/>
      <c r="S19" s="134"/>
    </row>
    <row r="20" spans="1:21">
      <c r="A20" s="1"/>
      <c r="K20" s="134"/>
      <c r="L20" s="134"/>
      <c r="M20" s="134"/>
      <c r="O20" s="134"/>
      <c r="Q20" s="218"/>
      <c r="S20" s="134"/>
    </row>
    <row r="21" spans="1:21">
      <c r="A21" s="1"/>
      <c r="K21" s="134"/>
      <c r="L21" s="134"/>
      <c r="M21" s="134"/>
      <c r="O21" s="134"/>
      <c r="Q21" s="218"/>
      <c r="S21" s="134"/>
    </row>
    <row r="22" spans="1:21" ht="12" customHeight="1">
      <c r="A22" s="1">
        <f>+A17+1</f>
        <v>2</v>
      </c>
      <c r="B22" s="885"/>
      <c r="D22" s="1561"/>
      <c r="E22" s="1561"/>
      <c r="F22" s="1561"/>
      <c r="G22" s="1561"/>
      <c r="I22" s="886"/>
      <c r="K22" s="884"/>
      <c r="L22" s="134"/>
      <c r="M22" s="884"/>
      <c r="O22" s="177">
        <f>+K22-M22</f>
        <v>0</v>
      </c>
      <c r="Q22" s="218">
        <f>IF(I22="G",TCOS!L241,IF(I22="T",1,0))</f>
        <v>0</v>
      </c>
      <c r="S22" s="177">
        <f>ROUND(O22*Q22,0)</f>
        <v>0</v>
      </c>
      <c r="U22" s="887"/>
    </row>
    <row r="23" spans="1:21">
      <c r="A23" s="1"/>
      <c r="D23" s="1561"/>
      <c r="E23" s="1561"/>
      <c r="F23" s="1561"/>
      <c r="G23" s="1561"/>
      <c r="K23" s="134"/>
      <c r="L23" s="134"/>
      <c r="M23" s="134"/>
      <c r="O23" s="134"/>
      <c r="Q23" s="218"/>
      <c r="S23" s="134"/>
    </row>
    <row r="24" spans="1:21">
      <c r="A24" s="1"/>
      <c r="D24" s="1561"/>
      <c r="E24" s="1561"/>
      <c r="F24" s="1561"/>
      <c r="G24" s="1561"/>
      <c r="K24" s="134"/>
      <c r="L24" s="134"/>
      <c r="M24" s="134"/>
      <c r="O24" s="134"/>
      <c r="Q24" s="218"/>
      <c r="S24" s="134"/>
    </row>
    <row r="25" spans="1:21">
      <c r="A25" s="1"/>
      <c r="I25" s="1"/>
      <c r="K25" s="134"/>
      <c r="L25" s="134"/>
      <c r="M25" s="134"/>
      <c r="O25" s="134"/>
      <c r="Q25" s="218"/>
      <c r="S25" s="134"/>
    </row>
    <row r="26" spans="1:21">
      <c r="A26" s="1"/>
      <c r="I26" s="1"/>
      <c r="K26" s="134"/>
      <c r="L26" s="134"/>
      <c r="M26" s="134"/>
      <c r="O26" s="134"/>
      <c r="Q26" s="218"/>
      <c r="S26" s="134"/>
    </row>
    <row r="27" spans="1:21">
      <c r="A27" s="1">
        <f>+A22+1</f>
        <v>3</v>
      </c>
      <c r="B27" s="885"/>
      <c r="D27" s="1561"/>
      <c r="E27" s="1561"/>
      <c r="F27" s="1561"/>
      <c r="G27" s="1561"/>
      <c r="I27" s="886"/>
      <c r="K27" s="884"/>
      <c r="L27" s="134"/>
      <c r="M27" s="884"/>
      <c r="O27" s="177">
        <f>+K27-M27</f>
        <v>0</v>
      </c>
      <c r="Q27" s="218">
        <f>IF(I27="G",TCOS!L241,IF(I27="T",1,0))</f>
        <v>0</v>
      </c>
      <c r="S27" s="177">
        <f>ROUND(O27*Q27,0)</f>
        <v>0</v>
      </c>
      <c r="U27" s="887"/>
    </row>
    <row r="28" spans="1:21">
      <c r="A28" s="1"/>
      <c r="D28" s="1561"/>
      <c r="E28" s="1561"/>
      <c r="F28" s="1561"/>
      <c r="G28" s="1561"/>
      <c r="K28" s="134"/>
      <c r="L28" s="134"/>
      <c r="M28" s="134"/>
      <c r="O28" s="134"/>
      <c r="Q28" s="218"/>
      <c r="S28" s="134"/>
    </row>
    <row r="29" spans="1:21">
      <c r="A29" s="1"/>
      <c r="D29" s="1561"/>
      <c r="E29" s="1561"/>
      <c r="F29" s="1561"/>
      <c r="G29" s="1561"/>
      <c r="K29" s="134"/>
      <c r="L29" s="134"/>
      <c r="M29" s="134"/>
      <c r="O29" s="134"/>
      <c r="Q29" s="218"/>
    </row>
    <row r="30" spans="1:21">
      <c r="A30" s="1"/>
      <c r="O30" s="134"/>
      <c r="Q30" s="218"/>
    </row>
    <row r="31" spans="1:21">
      <c r="A31" s="1"/>
      <c r="O31" s="134"/>
      <c r="Q31" s="218"/>
    </row>
    <row r="32" spans="1:21">
      <c r="A32" s="1"/>
      <c r="O32" s="134"/>
      <c r="Q32" s="218"/>
    </row>
    <row r="33" spans="1:19" ht="13.5" thickBot="1">
      <c r="A33" s="1">
        <f>+A27+1</f>
        <v>4</v>
      </c>
      <c r="K33" t="str">
        <f>"Net (Gain) or Loss for "&amp;TCOS!L4&amp;""</f>
        <v>Net (Gain) or Loss for 2020</v>
      </c>
      <c r="O33" s="230">
        <f>SUM(O17:O27)</f>
        <v>0</v>
      </c>
      <c r="Q33" s="231"/>
      <c r="S33" s="230">
        <f>SUM(S17:S27)</f>
        <v>0</v>
      </c>
    </row>
    <row r="34" spans="1:19" ht="13.5" thickTop="1">
      <c r="A34" s="1"/>
      <c r="O34" s="134"/>
      <c r="Q34" s="231"/>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9"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topLeftCell="A55" zoomScaleNormal="100" zoomScaleSheetLayoutView="70" zoomScalePageLayoutView="50" workbookViewId="0">
      <selection activeCell="E88" sqref="E88"/>
    </sheetView>
  </sheetViews>
  <sheetFormatPr defaultColWidth="11.42578125" defaultRowHeight="12.75"/>
  <cols>
    <col min="1" max="1" width="10.42578125" style="897" customWidth="1"/>
    <col min="2" max="2" width="64.5703125" style="225" customWidth="1"/>
    <col min="3" max="3" width="26.5703125" style="225" bestFit="1" customWidth="1"/>
    <col min="4" max="11" width="20.42578125" style="225" customWidth="1"/>
    <col min="12" max="12" width="20" style="225" customWidth="1"/>
    <col min="13" max="14" width="15.140625" style="225" customWidth="1"/>
    <col min="15" max="16384" width="11.42578125" style="225"/>
  </cols>
  <sheetData>
    <row r="1" spans="1:12" ht="15">
      <c r="A1" s="1488" t="s">
        <v>387</v>
      </c>
      <c r="B1" s="1488"/>
      <c r="C1" s="1488"/>
      <c r="D1" s="1488"/>
      <c r="E1" s="1488"/>
      <c r="F1" s="1488"/>
      <c r="G1" s="1488"/>
      <c r="H1" s="901"/>
      <c r="I1" s="901"/>
    </row>
    <row r="2" spans="1:12" ht="15">
      <c r="A2" s="1489" t="str">
        <f>"Cost of Service Formula Rate Using Actual/Projected FF1 Balances"</f>
        <v>Cost of Service Formula Rate Using Actual/Projected FF1 Balances</v>
      </c>
      <c r="B2" s="1489"/>
      <c r="C2" s="1489"/>
      <c r="D2" s="1489"/>
      <c r="E2" s="1489"/>
      <c r="F2" s="1489"/>
      <c r="G2" s="1489"/>
      <c r="H2" s="901"/>
      <c r="I2" s="901"/>
      <c r="J2" s="901"/>
      <c r="L2" s="951"/>
    </row>
    <row r="3" spans="1:12" ht="15">
      <c r="A3" s="1489" t="s">
        <v>661</v>
      </c>
      <c r="B3" s="1489"/>
      <c r="C3" s="1489"/>
      <c r="D3" s="1489"/>
      <c r="E3" s="1489"/>
      <c r="F3" s="1489"/>
      <c r="G3" s="1489"/>
      <c r="H3" s="901"/>
      <c r="I3" s="901"/>
      <c r="J3" s="901"/>
    </row>
    <row r="4" spans="1:12" ht="15">
      <c r="A4" s="1496" t="str">
        <f>TCOS!F9</f>
        <v>Appalachian Power Company</v>
      </c>
      <c r="B4" s="1496"/>
      <c r="C4" s="1496"/>
      <c r="D4" s="1496"/>
      <c r="E4" s="1496"/>
      <c r="F4" s="1496"/>
      <c r="G4" s="1496"/>
      <c r="H4" s="901"/>
      <c r="I4" s="901"/>
      <c r="J4" s="901"/>
    </row>
    <row r="5" spans="1:12">
      <c r="A5" s="901"/>
      <c r="B5" s="947"/>
      <c r="C5" s="947"/>
      <c r="D5" s="947"/>
      <c r="E5" s="950"/>
      <c r="F5" s="949"/>
      <c r="H5" s="949"/>
      <c r="J5" s="949"/>
      <c r="L5" s="949"/>
    </row>
    <row r="6" spans="1:12" ht="12.75" customHeight="1">
      <c r="A6" s="901"/>
      <c r="B6" s="947"/>
      <c r="C6" s="1490" t="s">
        <v>660</v>
      </c>
      <c r="D6" s="1491"/>
      <c r="E6" s="1491"/>
      <c r="F6" s="1491"/>
      <c r="G6" s="1491"/>
      <c r="H6" s="1491"/>
      <c r="I6" s="1491"/>
      <c r="J6" s="1491"/>
      <c r="K6" s="1492"/>
      <c r="L6" s="6"/>
    </row>
    <row r="7" spans="1:12" s="944" customFormat="1" ht="25.5">
      <c r="A7" s="946" t="s">
        <v>650</v>
      </c>
      <c r="B7" s="945" t="s">
        <v>649</v>
      </c>
      <c r="C7" s="923" t="s">
        <v>229</v>
      </c>
      <c r="D7" s="923" t="s">
        <v>658</v>
      </c>
      <c r="E7" s="923" t="s">
        <v>115</v>
      </c>
      <c r="F7" s="923" t="s">
        <v>657</v>
      </c>
      <c r="G7" s="923" t="s">
        <v>438</v>
      </c>
      <c r="H7" s="923" t="s">
        <v>656</v>
      </c>
      <c r="I7" s="923" t="s">
        <v>334</v>
      </c>
      <c r="J7" s="923" t="s">
        <v>655</v>
      </c>
      <c r="K7" s="922" t="s">
        <v>654</v>
      </c>
      <c r="L7" s="6"/>
    </row>
    <row r="8" spans="1:12" s="915" customFormat="1">
      <c r="A8" s="912"/>
      <c r="B8" s="920" t="s">
        <v>644</v>
      </c>
      <c r="C8" s="919" t="s">
        <v>643</v>
      </c>
      <c r="D8" s="919" t="s">
        <v>642</v>
      </c>
      <c r="E8" s="919" t="s">
        <v>641</v>
      </c>
      <c r="F8" s="919" t="s">
        <v>640</v>
      </c>
      <c r="G8" s="919" t="s">
        <v>662</v>
      </c>
      <c r="H8" s="919" t="s">
        <v>663</v>
      </c>
      <c r="I8" s="919" t="s">
        <v>653</v>
      </c>
      <c r="J8" s="919" t="s">
        <v>652</v>
      </c>
      <c r="K8" s="943" t="s">
        <v>651</v>
      </c>
      <c r="L8" s="6"/>
    </row>
    <row r="9" spans="1:12" s="915" customFormat="1" ht="44.25" customHeight="1">
      <c r="A9" s="912"/>
      <c r="B9" s="920" t="s">
        <v>639</v>
      </c>
      <c r="C9" s="942" t="s">
        <v>442</v>
      </c>
      <c r="D9" s="942" t="s">
        <v>447</v>
      </c>
      <c r="E9" s="942" t="s">
        <v>443</v>
      </c>
      <c r="F9" s="942" t="s">
        <v>664</v>
      </c>
      <c r="G9" s="942" t="s">
        <v>444</v>
      </c>
      <c r="H9" s="942" t="s">
        <v>445</v>
      </c>
      <c r="I9" s="942" t="s">
        <v>665</v>
      </c>
      <c r="J9" s="942" t="s">
        <v>666</v>
      </c>
      <c r="K9" s="941" t="s">
        <v>446</v>
      </c>
      <c r="L9" s="6"/>
    </row>
    <row r="10" spans="1:12">
      <c r="A10" s="912">
        <v>1</v>
      </c>
      <c r="B10" s="939" t="s">
        <v>637</v>
      </c>
      <c r="C10" s="907">
        <v>6523396907</v>
      </c>
      <c r="D10" s="907">
        <v>91273587</v>
      </c>
      <c r="E10" s="907">
        <v>3582439049</v>
      </c>
      <c r="F10" s="907"/>
      <c r="G10" s="907">
        <v>4199018353</v>
      </c>
      <c r="H10" s="907">
        <v>3069</v>
      </c>
      <c r="I10" s="907">
        <v>298711405</v>
      </c>
      <c r="J10" s="907">
        <v>1204128</v>
      </c>
      <c r="K10" s="907">
        <v>224212752.57000002</v>
      </c>
      <c r="L10" s="6"/>
    </row>
    <row r="11" spans="1:12">
      <c r="A11" s="912">
        <f>+A10+1</f>
        <v>2</v>
      </c>
      <c r="B11" s="939" t="s">
        <v>185</v>
      </c>
      <c r="C11" s="907">
        <v>6555038738.1499996</v>
      </c>
      <c r="D11" s="907">
        <v>92297197.639999986</v>
      </c>
      <c r="E11" s="907">
        <v>3584859236.1099992</v>
      </c>
      <c r="F11" s="907"/>
      <c r="G11" s="907">
        <v>4263734080.3100004</v>
      </c>
      <c r="H11" s="907">
        <v>3068.56</v>
      </c>
      <c r="I11" s="907">
        <v>302126192.51999992</v>
      </c>
      <c r="J11" s="907">
        <v>1204128.56</v>
      </c>
      <c r="K11" s="906">
        <v>227105592.01000002</v>
      </c>
      <c r="L11" s="6"/>
    </row>
    <row r="12" spans="1:12">
      <c r="A12" s="912">
        <f t="shared" ref="A12:A23" si="0">+A11+1</f>
        <v>3</v>
      </c>
      <c r="B12" s="938" t="s">
        <v>559</v>
      </c>
      <c r="C12" s="907">
        <v>6558737170.7700005</v>
      </c>
      <c r="D12" s="907">
        <v>92297197.639999986</v>
      </c>
      <c r="E12" s="907">
        <v>3599104530.52</v>
      </c>
      <c r="F12" s="907"/>
      <c r="G12" s="907">
        <v>4269987133.6299987</v>
      </c>
      <c r="H12" s="907">
        <v>3068.56</v>
      </c>
      <c r="I12" s="907">
        <v>302407246.00999987</v>
      </c>
      <c r="J12" s="907">
        <v>1204128.56</v>
      </c>
      <c r="K12" s="906">
        <v>230065976.28000003</v>
      </c>
      <c r="L12" s="6"/>
    </row>
    <row r="13" spans="1:12">
      <c r="A13" s="912">
        <f t="shared" si="0"/>
        <v>4</v>
      </c>
      <c r="B13" s="938" t="s">
        <v>636</v>
      </c>
      <c r="C13" s="907">
        <v>6561672427.2299986</v>
      </c>
      <c r="D13" s="907">
        <v>92297197.639999986</v>
      </c>
      <c r="E13" s="907">
        <v>3611619485.6599994</v>
      </c>
      <c r="F13" s="907"/>
      <c r="G13" s="907">
        <v>4276468904.5700002</v>
      </c>
      <c r="H13" s="907">
        <v>3068.56</v>
      </c>
      <c r="I13" s="907">
        <v>306602585.4799999</v>
      </c>
      <c r="J13" s="907">
        <v>1204128.56</v>
      </c>
      <c r="K13" s="906">
        <v>229953873.84999993</v>
      </c>
      <c r="L13" s="6"/>
    </row>
    <row r="14" spans="1:12">
      <c r="A14" s="912">
        <f t="shared" si="0"/>
        <v>5</v>
      </c>
      <c r="B14" s="938" t="s">
        <v>187</v>
      </c>
      <c r="C14" s="907">
        <v>6565286965.1799984</v>
      </c>
      <c r="D14" s="907">
        <v>92297197.639999986</v>
      </c>
      <c r="E14" s="907">
        <v>3665938751.1500006</v>
      </c>
      <c r="F14" s="907"/>
      <c r="G14" s="907">
        <v>4285232865.6900005</v>
      </c>
      <c r="H14" s="907">
        <v>3068.56</v>
      </c>
      <c r="I14" s="907">
        <v>306910990.75999987</v>
      </c>
      <c r="J14" s="907">
        <v>1204128.56</v>
      </c>
      <c r="K14" s="906">
        <v>232810007.41</v>
      </c>
      <c r="L14" s="6"/>
    </row>
    <row r="15" spans="1:12">
      <c r="A15" s="912">
        <f t="shared" si="0"/>
        <v>6</v>
      </c>
      <c r="B15" s="938" t="s">
        <v>188</v>
      </c>
      <c r="C15" s="907">
        <v>6565733419.5499983</v>
      </c>
      <c r="D15" s="907">
        <v>92297197.639999986</v>
      </c>
      <c r="E15" s="907">
        <v>3675874911.9400001</v>
      </c>
      <c r="F15" s="907"/>
      <c r="G15" s="907">
        <v>4298225233.2900009</v>
      </c>
      <c r="H15" s="907">
        <v>3068.56</v>
      </c>
      <c r="I15" s="907">
        <v>307423780.06999981</v>
      </c>
      <c r="J15" s="907">
        <v>1204128.56</v>
      </c>
      <c r="K15" s="906">
        <v>234996472.93000001</v>
      </c>
      <c r="L15" s="6"/>
    </row>
    <row r="16" spans="1:12">
      <c r="A16" s="912">
        <f t="shared" si="0"/>
        <v>7</v>
      </c>
      <c r="B16" s="938" t="s">
        <v>382</v>
      </c>
      <c r="C16" s="907">
        <v>6567085728.0300007</v>
      </c>
      <c r="D16" s="907">
        <v>92297197.639999986</v>
      </c>
      <c r="E16" s="907">
        <v>3719166430.6099987</v>
      </c>
      <c r="F16" s="907"/>
      <c r="G16" s="907">
        <v>4308777366.4399986</v>
      </c>
      <c r="H16" s="907">
        <v>3068.56</v>
      </c>
      <c r="I16" s="907">
        <v>308339490.75999993</v>
      </c>
      <c r="J16" s="907">
        <v>1204128.56</v>
      </c>
      <c r="K16" s="906">
        <v>246185534.91000003</v>
      </c>
      <c r="L16" s="6"/>
    </row>
    <row r="17" spans="1:12">
      <c r="A17" s="912">
        <f t="shared" si="0"/>
        <v>8</v>
      </c>
      <c r="B17" s="938" t="s">
        <v>189</v>
      </c>
      <c r="C17" s="907">
        <v>6577792784.9500008</v>
      </c>
      <c r="D17" s="907">
        <v>92297197.639999986</v>
      </c>
      <c r="E17" s="907">
        <v>3729674288.7500005</v>
      </c>
      <c r="F17" s="907"/>
      <c r="G17" s="907">
        <v>4319835416.3899994</v>
      </c>
      <c r="H17" s="907">
        <v>3068.56</v>
      </c>
      <c r="I17" s="907">
        <v>319309548.13999993</v>
      </c>
      <c r="J17" s="907">
        <v>1204128.56</v>
      </c>
      <c r="K17" s="906">
        <v>249049506.05000004</v>
      </c>
      <c r="L17" s="6"/>
    </row>
    <row r="18" spans="1:12">
      <c r="A18" s="912">
        <f t="shared" si="0"/>
        <v>9</v>
      </c>
      <c r="B18" s="938" t="s">
        <v>635</v>
      </c>
      <c r="C18" s="907">
        <v>6579797569.2099991</v>
      </c>
      <c r="D18" s="907">
        <v>92297197.639999986</v>
      </c>
      <c r="E18" s="907">
        <v>3785982052.5500002</v>
      </c>
      <c r="F18" s="907"/>
      <c r="G18" s="907">
        <v>4335921371.7099991</v>
      </c>
      <c r="H18" s="907">
        <v>3068.56</v>
      </c>
      <c r="I18" s="907">
        <v>320609197.00999981</v>
      </c>
      <c r="J18" s="907">
        <v>1204128.56</v>
      </c>
      <c r="K18" s="906">
        <v>252083655.58999997</v>
      </c>
      <c r="L18" s="6"/>
    </row>
    <row r="19" spans="1:12">
      <c r="A19" s="912">
        <f t="shared" si="0"/>
        <v>10</v>
      </c>
      <c r="B19" s="938" t="s">
        <v>192</v>
      </c>
      <c r="C19" s="907">
        <v>6575549142.4899979</v>
      </c>
      <c r="D19" s="907">
        <v>87952724.810000002</v>
      </c>
      <c r="E19" s="907">
        <v>3809736797.0100002</v>
      </c>
      <c r="F19" s="907"/>
      <c r="G19" s="907">
        <v>4347132934.5799999</v>
      </c>
      <c r="H19" s="907">
        <v>3068.56</v>
      </c>
      <c r="I19" s="907">
        <v>324147117.67999989</v>
      </c>
      <c r="J19" s="907">
        <v>1204128.56</v>
      </c>
      <c r="K19" s="906">
        <v>251199833.64999998</v>
      </c>
      <c r="L19" s="6"/>
    </row>
    <row r="20" spans="1:12">
      <c r="A20" s="912">
        <f t="shared" si="0"/>
        <v>11</v>
      </c>
      <c r="B20" s="938" t="s">
        <v>560</v>
      </c>
      <c r="C20" s="907">
        <v>6575316486.9099998</v>
      </c>
      <c r="D20" s="907">
        <v>88462788.199999988</v>
      </c>
      <c r="E20" s="907">
        <v>3828338060.8499999</v>
      </c>
      <c r="F20" s="907"/>
      <c r="G20" s="907">
        <v>4387072732.8900013</v>
      </c>
      <c r="H20" s="907">
        <v>3068.56</v>
      </c>
      <c r="I20" s="907">
        <v>325036664.42999995</v>
      </c>
      <c r="J20" s="907">
        <v>1204128.56</v>
      </c>
      <c r="K20" s="906">
        <v>253872284.17999995</v>
      </c>
      <c r="L20" s="6"/>
    </row>
    <row r="21" spans="1:12">
      <c r="A21" s="912">
        <f t="shared" si="0"/>
        <v>12</v>
      </c>
      <c r="B21" s="938" t="s">
        <v>561</v>
      </c>
      <c r="C21" s="907">
        <v>6581288914.1400003</v>
      </c>
      <c r="D21" s="907">
        <v>88462788.199999988</v>
      </c>
      <c r="E21" s="907">
        <v>3850303271.8400002</v>
      </c>
      <c r="F21" s="907"/>
      <c r="G21" s="907">
        <v>4407599434.7600012</v>
      </c>
      <c r="H21" s="907">
        <v>3068.56</v>
      </c>
      <c r="I21" s="907">
        <v>326613778.90999985</v>
      </c>
      <c r="J21" s="907">
        <v>1204128.56</v>
      </c>
      <c r="K21" s="906">
        <v>257918510.26000002</v>
      </c>
      <c r="L21" s="6"/>
    </row>
    <row r="22" spans="1:12">
      <c r="A22" s="910">
        <f t="shared" si="0"/>
        <v>13</v>
      </c>
      <c r="B22" s="937" t="s">
        <v>634</v>
      </c>
      <c r="C22" s="907">
        <v>6590464954.3599987</v>
      </c>
      <c r="D22" s="907">
        <v>93492992.900000006</v>
      </c>
      <c r="E22" s="907">
        <v>3898871056.0400004</v>
      </c>
      <c r="F22" s="907"/>
      <c r="G22" s="907">
        <v>4462596916.7699995</v>
      </c>
      <c r="H22" s="907">
        <v>3068.56</v>
      </c>
      <c r="I22" s="907">
        <v>330496686.1099999</v>
      </c>
      <c r="J22" s="907">
        <v>1204128.56</v>
      </c>
      <c r="K22" s="936">
        <v>249285712.51000002</v>
      </c>
      <c r="L22" s="6"/>
    </row>
    <row r="23" spans="1:12" ht="13.5" thickBot="1">
      <c r="A23" s="1183">
        <f t="shared" si="0"/>
        <v>14</v>
      </c>
      <c r="B23" s="1184" t="s">
        <v>864</v>
      </c>
      <c r="C23" s="933">
        <f>SUM(C10:C22)/13</f>
        <v>6567473939.0746145</v>
      </c>
      <c r="D23" s="933">
        <f>SUM(D10:D22)/13</f>
        <v>91386343.248461545</v>
      </c>
      <c r="E23" s="933">
        <f t="shared" ref="E23:K23" si="1">SUM(E10:E22)/13</f>
        <v>3718608301.6946149</v>
      </c>
      <c r="F23" s="933">
        <f t="shared" si="1"/>
        <v>0</v>
      </c>
      <c r="G23" s="933">
        <f t="shared" si="1"/>
        <v>4320123288.0023079</v>
      </c>
      <c r="H23" s="933">
        <f t="shared" si="1"/>
        <v>3068.5938461538462</v>
      </c>
      <c r="I23" s="933">
        <f t="shared" si="1"/>
        <v>313748821.75999987</v>
      </c>
      <c r="J23" s="933">
        <f t="shared" si="1"/>
        <v>1204128.5169230772</v>
      </c>
      <c r="K23" s="932">
        <f t="shared" si="1"/>
        <v>241441516.32307693</v>
      </c>
      <c r="L23" s="6"/>
    </row>
    <row r="24" spans="1:12" ht="13.5" thickTop="1">
      <c r="A24" s="901"/>
      <c r="B24" s="900"/>
      <c r="C24" s="931"/>
      <c r="D24" s="898"/>
      <c r="E24" s="898"/>
      <c r="F24" s="898"/>
      <c r="G24" s="931"/>
      <c r="H24" s="931"/>
      <c r="I24" s="931"/>
      <c r="J24" s="948"/>
      <c r="K24" s="948"/>
      <c r="L24" s="6"/>
    </row>
    <row r="25" spans="1:12" ht="12.75" customHeight="1">
      <c r="A25" s="901"/>
      <c r="B25" s="947"/>
      <c r="C25" s="1493" t="s">
        <v>659</v>
      </c>
      <c r="D25" s="1494"/>
      <c r="E25" s="1494"/>
      <c r="F25" s="1494"/>
      <c r="G25" s="1494"/>
      <c r="H25" s="1494"/>
      <c r="I25" s="1494"/>
      <c r="J25" s="1494"/>
      <c r="K25" s="1495"/>
      <c r="L25" s="6"/>
    </row>
    <row r="26" spans="1:12" s="944" customFormat="1" ht="25.5">
      <c r="A26" s="946" t="s">
        <v>650</v>
      </c>
      <c r="B26" s="945" t="s">
        <v>649</v>
      </c>
      <c r="C26" s="923" t="s">
        <v>229</v>
      </c>
      <c r="D26" s="923" t="s">
        <v>658</v>
      </c>
      <c r="E26" s="923" t="s">
        <v>115</v>
      </c>
      <c r="F26" s="923" t="s">
        <v>657</v>
      </c>
      <c r="G26" s="923" t="s">
        <v>438</v>
      </c>
      <c r="H26" s="923" t="s">
        <v>656</v>
      </c>
      <c r="I26" s="923" t="s">
        <v>334</v>
      </c>
      <c r="J26" s="923" t="s">
        <v>655</v>
      </c>
      <c r="K26" s="922" t="s">
        <v>654</v>
      </c>
      <c r="L26" s="6"/>
    </row>
    <row r="27" spans="1:12" s="915" customFormat="1">
      <c r="A27" s="912"/>
      <c r="B27" s="920" t="s">
        <v>644</v>
      </c>
      <c r="C27" s="919" t="s">
        <v>643</v>
      </c>
      <c r="D27" s="919" t="s">
        <v>642</v>
      </c>
      <c r="E27" s="919" t="s">
        <v>641</v>
      </c>
      <c r="F27" s="919" t="s">
        <v>640</v>
      </c>
      <c r="G27" s="919" t="s">
        <v>662</v>
      </c>
      <c r="H27" s="919" t="s">
        <v>663</v>
      </c>
      <c r="I27" s="919" t="s">
        <v>653</v>
      </c>
      <c r="J27" s="919" t="s">
        <v>652</v>
      </c>
      <c r="K27" s="943" t="s">
        <v>651</v>
      </c>
      <c r="L27" s="6"/>
    </row>
    <row r="28" spans="1:12" s="915" customFormat="1" ht="44.25" customHeight="1">
      <c r="A28" s="912"/>
      <c r="B28" s="920" t="s">
        <v>639</v>
      </c>
      <c r="C28" s="942" t="s">
        <v>379</v>
      </c>
      <c r="D28" s="942" t="s">
        <v>667</v>
      </c>
      <c r="E28" s="942" t="s">
        <v>380</v>
      </c>
      <c r="F28" s="942" t="s">
        <v>668</v>
      </c>
      <c r="G28" s="942" t="s">
        <v>507</v>
      </c>
      <c r="H28" s="942" t="s">
        <v>669</v>
      </c>
      <c r="I28" s="942" t="s">
        <v>481</v>
      </c>
      <c r="J28" s="942" t="s">
        <v>670</v>
      </c>
      <c r="K28" s="941" t="s">
        <v>508</v>
      </c>
      <c r="L28" s="6"/>
    </row>
    <row r="29" spans="1:12">
      <c r="A29" s="912">
        <f>+A23+1</f>
        <v>15</v>
      </c>
      <c r="B29" s="939" t="s">
        <v>637</v>
      </c>
      <c r="C29" s="907">
        <v>2694006514</v>
      </c>
      <c r="D29" s="907">
        <v>39419424.790000007</v>
      </c>
      <c r="E29" s="907">
        <v>727711079.63000011</v>
      </c>
      <c r="F29" s="907">
        <v>0</v>
      </c>
      <c r="G29" s="907">
        <v>1429145280</v>
      </c>
      <c r="H29" s="907">
        <v>1997.96</v>
      </c>
      <c r="I29" s="907">
        <v>86426144.090000004</v>
      </c>
      <c r="J29" s="907">
        <v>709963.52999999991</v>
      </c>
      <c r="K29" s="940">
        <v>106325332.62</v>
      </c>
      <c r="L29" s="6"/>
    </row>
    <row r="30" spans="1:12">
      <c r="A30" s="912">
        <f>+A29+1</f>
        <v>16</v>
      </c>
      <c r="B30" s="939" t="s">
        <v>185</v>
      </c>
      <c r="C30" s="907">
        <v>2709303882.380002</v>
      </c>
      <c r="D30" s="907">
        <v>39671175</v>
      </c>
      <c r="E30" s="907">
        <v>728011664.68999982</v>
      </c>
      <c r="F30" s="907">
        <v>0</v>
      </c>
      <c r="G30" s="907">
        <v>1436371212.2799997</v>
      </c>
      <c r="H30" s="907">
        <v>2003.69</v>
      </c>
      <c r="I30" s="907">
        <v>86625140.330000013</v>
      </c>
      <c r="J30" s="907">
        <v>713022.29</v>
      </c>
      <c r="K30" s="906">
        <v>108863193.96000004</v>
      </c>
      <c r="L30" s="6"/>
    </row>
    <row r="31" spans="1:12">
      <c r="A31" s="912">
        <f t="shared" ref="A31:A42" si="2">+A30+1</f>
        <v>17</v>
      </c>
      <c r="B31" s="938" t="s">
        <v>559</v>
      </c>
      <c r="C31" s="907">
        <v>2723471149.1700001</v>
      </c>
      <c r="D31" s="907">
        <v>39920411</v>
      </c>
      <c r="E31" s="907">
        <v>731971573.43999994</v>
      </c>
      <c r="F31" s="907">
        <v>0</v>
      </c>
      <c r="G31" s="907">
        <v>1437669561.1000004</v>
      </c>
      <c r="H31" s="907">
        <v>2009.42</v>
      </c>
      <c r="I31" s="907">
        <v>87208227.61999999</v>
      </c>
      <c r="J31" s="907">
        <v>716081.04999999993</v>
      </c>
      <c r="K31" s="906">
        <v>111448405.50999999</v>
      </c>
      <c r="L31" s="6"/>
    </row>
    <row r="32" spans="1:12">
      <c r="A32" s="912">
        <f t="shared" si="2"/>
        <v>18</v>
      </c>
      <c r="B32" s="938" t="s">
        <v>636</v>
      </c>
      <c r="C32" s="907">
        <v>2740243797.8600011</v>
      </c>
      <c r="D32" s="907">
        <v>40169648</v>
      </c>
      <c r="E32" s="907">
        <v>734820376.78999996</v>
      </c>
      <c r="F32" s="907">
        <v>0</v>
      </c>
      <c r="G32" s="907">
        <v>1446154472.0200005</v>
      </c>
      <c r="H32" s="907">
        <v>2015.15</v>
      </c>
      <c r="I32" s="907">
        <v>87882816.520000026</v>
      </c>
      <c r="J32" s="907">
        <v>719139.81</v>
      </c>
      <c r="K32" s="906">
        <v>108874296.29000002</v>
      </c>
      <c r="L32" s="6"/>
    </row>
    <row r="33" spans="1:12">
      <c r="A33" s="912">
        <f t="shared" si="2"/>
        <v>19</v>
      </c>
      <c r="B33" s="938" t="s">
        <v>187</v>
      </c>
      <c r="C33" s="907">
        <v>2756777939.4600019</v>
      </c>
      <c r="D33" s="907">
        <v>40418884.5</v>
      </c>
      <c r="E33" s="907">
        <v>739121086</v>
      </c>
      <c r="F33" s="907">
        <v>0</v>
      </c>
      <c r="G33" s="907">
        <v>1454103693.51</v>
      </c>
      <c r="H33" s="907">
        <v>2020.88</v>
      </c>
      <c r="I33" s="907">
        <v>88462694.090000004</v>
      </c>
      <c r="J33" s="907">
        <v>722198.57000000007</v>
      </c>
      <c r="K33" s="906">
        <v>111608759.84999998</v>
      </c>
      <c r="L33" s="6"/>
    </row>
    <row r="34" spans="1:12">
      <c r="A34" s="912">
        <f t="shared" si="2"/>
        <v>20</v>
      </c>
      <c r="B34" s="938" t="s">
        <v>188</v>
      </c>
      <c r="C34" s="907">
        <v>2773070464.8299999</v>
      </c>
      <c r="D34" s="907">
        <v>40668121.189999998</v>
      </c>
      <c r="E34" s="907">
        <v>743602635.26999998</v>
      </c>
      <c r="F34" s="907">
        <v>0</v>
      </c>
      <c r="G34" s="907">
        <v>1458567343.8</v>
      </c>
      <c r="H34" s="907">
        <v>2026.6100000000001</v>
      </c>
      <c r="I34" s="907">
        <v>89045232.370000005</v>
      </c>
      <c r="J34" s="907">
        <v>725257.30999999994</v>
      </c>
      <c r="K34" s="906">
        <v>114375352.45</v>
      </c>
      <c r="L34" s="6"/>
    </row>
    <row r="35" spans="1:12">
      <c r="A35" s="912">
        <f t="shared" si="2"/>
        <v>21</v>
      </c>
      <c r="B35" s="938" t="s">
        <v>382</v>
      </c>
      <c r="C35" s="907">
        <v>2790501125.2999983</v>
      </c>
      <c r="D35" s="907">
        <v>40917357.839999996</v>
      </c>
      <c r="E35" s="907">
        <v>741749348.24000001</v>
      </c>
      <c r="F35" s="907">
        <v>0</v>
      </c>
      <c r="G35" s="907">
        <v>1466438762.5699997</v>
      </c>
      <c r="H35" s="907">
        <v>2032.3400000000001</v>
      </c>
      <c r="I35" s="907">
        <v>89633807.850000009</v>
      </c>
      <c r="J35" s="907">
        <v>728316.07000000007</v>
      </c>
      <c r="K35" s="906">
        <v>113875372.84999999</v>
      </c>
      <c r="L35" s="6"/>
    </row>
    <row r="36" spans="1:12">
      <c r="A36" s="912">
        <f t="shared" si="2"/>
        <v>22</v>
      </c>
      <c r="B36" s="938" t="s">
        <v>189</v>
      </c>
      <c r="C36" s="907">
        <v>2805798165.5799999</v>
      </c>
      <c r="D36" s="907">
        <v>41166594.580000006</v>
      </c>
      <c r="E36" s="907">
        <v>743393613.25000012</v>
      </c>
      <c r="F36" s="907">
        <v>0</v>
      </c>
      <c r="G36" s="907">
        <v>1474229575.54</v>
      </c>
      <c r="H36" s="907">
        <v>2038.06</v>
      </c>
      <c r="I36" s="907">
        <v>90170286.790000007</v>
      </c>
      <c r="J36" s="907">
        <v>731374.83</v>
      </c>
      <c r="K36" s="906">
        <v>116846194.38999997</v>
      </c>
      <c r="L36" s="6"/>
    </row>
    <row r="37" spans="1:12">
      <c r="A37" s="912">
        <f t="shared" si="2"/>
        <v>23</v>
      </c>
      <c r="B37" s="938" t="s">
        <v>635</v>
      </c>
      <c r="C37" s="907">
        <v>2822413284.9800005</v>
      </c>
      <c r="D37" s="907">
        <v>41415831.25</v>
      </c>
      <c r="E37" s="907">
        <v>745098078.93999994</v>
      </c>
      <c r="F37" s="907">
        <v>0</v>
      </c>
      <c r="G37" s="907">
        <v>1483134467.7800002</v>
      </c>
      <c r="H37" s="907">
        <v>2043.79</v>
      </c>
      <c r="I37" s="907">
        <v>90788349.150000021</v>
      </c>
      <c r="J37" s="907">
        <v>734433.6100000001</v>
      </c>
      <c r="K37" s="906">
        <v>119881007.81000002</v>
      </c>
      <c r="L37" s="6"/>
    </row>
    <row r="38" spans="1:12">
      <c r="A38" s="912">
        <f t="shared" si="2"/>
        <v>24</v>
      </c>
      <c r="B38" s="938" t="s">
        <v>192</v>
      </c>
      <c r="C38" s="907">
        <v>2837441005.000001</v>
      </c>
      <c r="D38" s="907">
        <v>41665067.929999992</v>
      </c>
      <c r="E38" s="907">
        <v>749254803.06000006</v>
      </c>
      <c r="F38" s="907">
        <v>0</v>
      </c>
      <c r="G38" s="907">
        <v>1493145258.01</v>
      </c>
      <c r="H38" s="907">
        <v>2049.5100000000002</v>
      </c>
      <c r="I38" s="907">
        <v>91406412.50999999</v>
      </c>
      <c r="J38" s="907">
        <v>737492.35</v>
      </c>
      <c r="K38" s="906">
        <v>118483722.26999998</v>
      </c>
      <c r="L38" s="6"/>
    </row>
    <row r="39" spans="1:12">
      <c r="A39" s="912">
        <f t="shared" si="2"/>
        <v>25</v>
      </c>
      <c r="B39" s="938" t="s">
        <v>560</v>
      </c>
      <c r="C39" s="907">
        <v>2852948877.5899997</v>
      </c>
      <c r="D39" s="907">
        <v>41896043</v>
      </c>
      <c r="E39" s="907">
        <v>749503613.12000012</v>
      </c>
      <c r="F39" s="907">
        <v>0</v>
      </c>
      <c r="G39" s="907">
        <v>1502036103.8899999</v>
      </c>
      <c r="H39" s="907">
        <v>2055.2400000000002</v>
      </c>
      <c r="I39" s="907">
        <v>86538298.629999965</v>
      </c>
      <c r="J39" s="907">
        <v>740551.13</v>
      </c>
      <c r="K39" s="906">
        <v>121629081.34999996</v>
      </c>
      <c r="L39" s="6"/>
    </row>
    <row r="40" spans="1:12">
      <c r="A40" s="912">
        <f t="shared" si="2"/>
        <v>26</v>
      </c>
      <c r="B40" s="938" t="s">
        <v>561</v>
      </c>
      <c r="C40" s="907">
        <v>2881696050.7500014</v>
      </c>
      <c r="D40" s="907">
        <v>42128804.150000006</v>
      </c>
      <c r="E40" s="907">
        <v>765927873.13000011</v>
      </c>
      <c r="F40" s="907">
        <v>0</v>
      </c>
      <c r="G40" s="907">
        <v>1535550755.4099998</v>
      </c>
      <c r="H40" s="907">
        <v>2060.96</v>
      </c>
      <c r="I40" s="907">
        <v>91586530.909999996</v>
      </c>
      <c r="J40" s="907">
        <v>743609.88</v>
      </c>
      <c r="K40" s="906">
        <v>124818981.31999999</v>
      </c>
      <c r="L40" s="6"/>
    </row>
    <row r="41" spans="1:12">
      <c r="A41" s="910">
        <f t="shared" si="2"/>
        <v>27</v>
      </c>
      <c r="B41" s="937" t="s">
        <v>634</v>
      </c>
      <c r="C41" s="907">
        <v>2915182008.920001</v>
      </c>
      <c r="D41" s="907">
        <v>42361565.359999999</v>
      </c>
      <c r="E41" s="907">
        <v>762867121.05999994</v>
      </c>
      <c r="F41" s="907">
        <v>0</v>
      </c>
      <c r="G41" s="907">
        <v>1532247333.5899999</v>
      </c>
      <c r="H41" s="907">
        <v>2066.69</v>
      </c>
      <c r="I41" s="907">
        <v>90764512.659999996</v>
      </c>
      <c r="J41" s="907">
        <v>746668.64</v>
      </c>
      <c r="K41" s="936">
        <v>111600956.02</v>
      </c>
      <c r="L41" s="6"/>
    </row>
    <row r="42" spans="1:12" ht="13.5" thickBot="1">
      <c r="A42" s="935">
        <f t="shared" si="2"/>
        <v>28</v>
      </c>
      <c r="B42" s="1184" t="s">
        <v>864</v>
      </c>
      <c r="C42" s="933">
        <f>SUM(C29:C41)/13</f>
        <v>2792527251.2169232</v>
      </c>
      <c r="D42" s="933">
        <f t="shared" ref="D42:K42" si="3">SUM(D29:D41)/13</f>
        <v>40909148.353076927</v>
      </c>
      <c r="E42" s="933">
        <f t="shared" si="3"/>
        <v>743310220.50923073</v>
      </c>
      <c r="F42" s="933">
        <f t="shared" si="3"/>
        <v>0</v>
      </c>
      <c r="G42" s="933">
        <f t="shared" si="3"/>
        <v>1472984139.9615386</v>
      </c>
      <c r="H42" s="933">
        <f t="shared" si="3"/>
        <v>2032.330769230769</v>
      </c>
      <c r="I42" s="933">
        <f t="shared" si="3"/>
        <v>88964496.424615383</v>
      </c>
      <c r="J42" s="933">
        <f t="shared" si="3"/>
        <v>728316.08230769238</v>
      </c>
      <c r="K42" s="932">
        <f t="shared" si="3"/>
        <v>114510050.51461537</v>
      </c>
      <c r="L42" s="6"/>
    </row>
    <row r="43" spans="1:12" ht="13.5" thickTop="1">
      <c r="A43" s="901"/>
      <c r="B43" s="900"/>
      <c r="C43" s="931"/>
      <c r="D43" s="898"/>
      <c r="E43" s="898"/>
      <c r="F43" s="898"/>
      <c r="G43" s="931"/>
      <c r="H43"/>
      <c r="I43"/>
      <c r="J43"/>
      <c r="K43"/>
      <c r="L43" s="6"/>
    </row>
    <row r="44" spans="1:12">
      <c r="A44" s="901"/>
      <c r="B44" s="900"/>
      <c r="C44" s="931"/>
      <c r="D44" s="898"/>
      <c r="E44" s="898"/>
      <c r="F44" s="898"/>
      <c r="G44" s="931"/>
      <c r="H44" s="931"/>
      <c r="I44" s="931"/>
    </row>
    <row r="45" spans="1:12">
      <c r="A45" s="930"/>
      <c r="B45" s="929"/>
      <c r="C45" s="928"/>
      <c r="D45" s="927"/>
      <c r="E45" s="927"/>
      <c r="F45" s="926"/>
      <c r="G45"/>
      <c r="H45"/>
      <c r="I45"/>
      <c r="J45"/>
      <c r="K45"/>
      <c r="L45" s="6"/>
    </row>
    <row r="46" spans="1:12" ht="72" customHeight="1">
      <c r="A46" s="925" t="s">
        <v>650</v>
      </c>
      <c r="B46" s="919" t="s">
        <v>649</v>
      </c>
      <c r="C46" s="924" t="s">
        <v>648</v>
      </c>
      <c r="D46" s="923" t="s">
        <v>647</v>
      </c>
      <c r="E46" s="923" t="s">
        <v>646</v>
      </c>
      <c r="F46" s="922" t="s">
        <v>645</v>
      </c>
      <c r="G46"/>
      <c r="H46"/>
      <c r="I46"/>
      <c r="J46"/>
      <c r="K46"/>
      <c r="L46" s="6"/>
    </row>
    <row r="47" spans="1:12" s="915" customFormat="1">
      <c r="A47" s="912"/>
      <c r="B47" s="919" t="s">
        <v>644</v>
      </c>
      <c r="C47" s="921" t="s">
        <v>643</v>
      </c>
      <c r="D47" s="919" t="s">
        <v>642</v>
      </c>
      <c r="E47" s="919" t="s">
        <v>641</v>
      </c>
      <c r="F47" s="920" t="s">
        <v>640</v>
      </c>
      <c r="G47"/>
      <c r="H47"/>
      <c r="I47"/>
      <c r="J47"/>
      <c r="K47"/>
      <c r="L47" s="6"/>
    </row>
    <row r="48" spans="1:12" s="915" customFormat="1" ht="63.75">
      <c r="A48" s="912"/>
      <c r="B48" s="919" t="s">
        <v>639</v>
      </c>
      <c r="C48" s="918" t="s">
        <v>671</v>
      </c>
      <c r="D48" s="918" t="s">
        <v>672</v>
      </c>
      <c r="E48" s="917" t="s">
        <v>638</v>
      </c>
      <c r="F48" s="916" t="s">
        <v>638</v>
      </c>
      <c r="G48"/>
      <c r="H48"/>
      <c r="I48"/>
      <c r="J48"/>
      <c r="K48"/>
      <c r="L48" s="6"/>
    </row>
    <row r="49" spans="1:12">
      <c r="A49" s="912">
        <f>+A42+1</f>
        <v>29</v>
      </c>
      <c r="B49" s="913" t="s">
        <v>637</v>
      </c>
      <c r="C49" s="914">
        <v>81926089.360000014</v>
      </c>
      <c r="D49" s="907">
        <v>23022518.550000001</v>
      </c>
      <c r="E49" s="907">
        <v>0</v>
      </c>
      <c r="F49" s="906">
        <v>0</v>
      </c>
      <c r="G49"/>
      <c r="H49"/>
      <c r="I49"/>
      <c r="J49"/>
      <c r="K49"/>
      <c r="L49" s="6"/>
    </row>
    <row r="50" spans="1:12">
      <c r="A50" s="912">
        <f>+A49+1</f>
        <v>30</v>
      </c>
      <c r="B50" s="913" t="s">
        <v>185</v>
      </c>
      <c r="C50" s="908">
        <v>82366641.690000013</v>
      </c>
      <c r="D50" s="907">
        <v>20790916.93</v>
      </c>
      <c r="E50" s="907"/>
      <c r="F50" s="906"/>
      <c r="G50"/>
      <c r="H50"/>
      <c r="I50"/>
      <c r="J50"/>
      <c r="K50"/>
      <c r="L50" s="6"/>
    </row>
    <row r="51" spans="1:12">
      <c r="A51" s="912">
        <f t="shared" ref="A51:A62" si="4">+A50+1</f>
        <v>31</v>
      </c>
      <c r="B51" s="911" t="s">
        <v>559</v>
      </c>
      <c r="C51" s="908">
        <v>82348787.679999992</v>
      </c>
      <c r="D51" s="907">
        <v>20951890.519999996</v>
      </c>
      <c r="E51" s="907"/>
      <c r="F51" s="906"/>
      <c r="G51"/>
      <c r="H51"/>
      <c r="I51"/>
      <c r="J51"/>
      <c r="K51"/>
      <c r="L51" s="6"/>
    </row>
    <row r="52" spans="1:12">
      <c r="A52" s="912">
        <f t="shared" si="4"/>
        <v>32</v>
      </c>
      <c r="B52" s="911" t="s">
        <v>636</v>
      </c>
      <c r="C52" s="908">
        <v>82342815.820000023</v>
      </c>
      <c r="D52" s="907">
        <v>21102474.199999999</v>
      </c>
      <c r="E52" s="907"/>
      <c r="F52" s="906"/>
      <c r="G52"/>
      <c r="H52"/>
      <c r="I52"/>
      <c r="J52"/>
      <c r="K52"/>
      <c r="L52" s="6"/>
    </row>
    <row r="53" spans="1:12">
      <c r="A53" s="912">
        <f t="shared" si="4"/>
        <v>33</v>
      </c>
      <c r="B53" s="911" t="s">
        <v>187</v>
      </c>
      <c r="C53" s="908">
        <v>82342815.820000023</v>
      </c>
      <c r="D53" s="907">
        <v>21253047.030000001</v>
      </c>
      <c r="E53" s="907"/>
      <c r="F53" s="906"/>
      <c r="G53"/>
      <c r="H53"/>
      <c r="I53"/>
      <c r="J53"/>
      <c r="K53"/>
      <c r="L53" s="6"/>
    </row>
    <row r="54" spans="1:12">
      <c r="A54" s="912">
        <f t="shared" si="4"/>
        <v>34</v>
      </c>
      <c r="B54" s="911" t="s">
        <v>188</v>
      </c>
      <c r="C54" s="908">
        <v>82342815.820000023</v>
      </c>
      <c r="D54" s="907">
        <v>21043471.529999994</v>
      </c>
      <c r="E54" s="907"/>
      <c r="F54" s="906"/>
      <c r="G54"/>
      <c r="H54"/>
      <c r="I54"/>
      <c r="J54"/>
      <c r="K54"/>
      <c r="L54" s="6"/>
    </row>
    <row r="55" spans="1:12">
      <c r="A55" s="912">
        <f t="shared" si="4"/>
        <v>35</v>
      </c>
      <c r="B55" s="911" t="s">
        <v>382</v>
      </c>
      <c r="C55" s="908">
        <v>82346059.820000023</v>
      </c>
      <c r="D55" s="907">
        <v>21194044.399999999</v>
      </c>
      <c r="E55" s="907"/>
      <c r="F55" s="906"/>
      <c r="G55"/>
      <c r="H55"/>
      <c r="I55"/>
      <c r="J55"/>
      <c r="K55"/>
      <c r="L55" s="6"/>
    </row>
    <row r="56" spans="1:12">
      <c r="A56" s="912">
        <f t="shared" si="4"/>
        <v>36</v>
      </c>
      <c r="B56" s="911" t="s">
        <v>189</v>
      </c>
      <c r="C56" s="908">
        <v>82346059.820000023</v>
      </c>
      <c r="D56" s="907">
        <v>21344623.18</v>
      </c>
      <c r="E56" s="907"/>
      <c r="F56" s="906"/>
      <c r="G56"/>
      <c r="H56"/>
      <c r="I56"/>
      <c r="J56"/>
      <c r="K56"/>
      <c r="L56" s="6"/>
    </row>
    <row r="57" spans="1:12">
      <c r="A57" s="912">
        <f t="shared" si="4"/>
        <v>37</v>
      </c>
      <c r="B57" s="911" t="s">
        <v>635</v>
      </c>
      <c r="C57" s="908">
        <v>82346059.820000023</v>
      </c>
      <c r="D57" s="907">
        <v>21495201.769999992</v>
      </c>
      <c r="E57" s="907"/>
      <c r="F57" s="906"/>
      <c r="G57"/>
      <c r="H57"/>
      <c r="I57"/>
      <c r="J57"/>
      <c r="K57"/>
      <c r="L57" s="6"/>
    </row>
    <row r="58" spans="1:12">
      <c r="A58" s="912">
        <f t="shared" si="4"/>
        <v>38</v>
      </c>
      <c r="B58" s="911" t="s">
        <v>192</v>
      </c>
      <c r="C58" s="908">
        <v>82346059.820000023</v>
      </c>
      <c r="D58" s="907">
        <v>21645384.709999997</v>
      </c>
      <c r="E58" s="907"/>
      <c r="F58" s="906"/>
      <c r="G58"/>
      <c r="H58"/>
      <c r="I58"/>
      <c r="J58"/>
      <c r="K58"/>
      <c r="L58" s="6"/>
    </row>
    <row r="59" spans="1:12">
      <c r="A59" s="912">
        <f t="shared" si="4"/>
        <v>39</v>
      </c>
      <c r="B59" s="911" t="s">
        <v>560</v>
      </c>
      <c r="C59" s="908">
        <v>82615503.5</v>
      </c>
      <c r="D59" s="907">
        <v>21795963.350000005</v>
      </c>
      <c r="E59" s="907"/>
      <c r="F59" s="906"/>
      <c r="G59"/>
      <c r="H59"/>
      <c r="I59"/>
      <c r="J59"/>
      <c r="K59"/>
      <c r="L59" s="6"/>
    </row>
    <row r="60" spans="1:12">
      <c r="A60" s="912">
        <f t="shared" si="4"/>
        <v>40</v>
      </c>
      <c r="B60" s="911" t="s">
        <v>561</v>
      </c>
      <c r="C60" s="908">
        <v>82615503.5</v>
      </c>
      <c r="D60" s="907">
        <v>21947022.489999998</v>
      </c>
      <c r="E60" s="907"/>
      <c r="F60" s="906"/>
      <c r="G60"/>
      <c r="H60"/>
      <c r="I60"/>
      <c r="J60"/>
      <c r="K60"/>
      <c r="L60" s="6"/>
    </row>
    <row r="61" spans="1:12">
      <c r="A61" s="910">
        <f t="shared" si="4"/>
        <v>41</v>
      </c>
      <c r="B61" s="909" t="s">
        <v>634</v>
      </c>
      <c r="C61" s="908">
        <v>82615503.500000015</v>
      </c>
      <c r="D61" s="907">
        <v>22362369.050000001</v>
      </c>
      <c r="E61" s="907"/>
      <c r="F61" s="906"/>
      <c r="G61"/>
      <c r="H61"/>
      <c r="I61"/>
      <c r="J61"/>
      <c r="K61"/>
      <c r="L61" s="6"/>
    </row>
    <row r="62" spans="1:12" ht="13.5" thickBot="1">
      <c r="A62" s="905">
        <f t="shared" si="4"/>
        <v>42</v>
      </c>
      <c r="B62" s="1184" t="s">
        <v>864</v>
      </c>
      <c r="C62" s="933">
        <f>SUM(C49:C61)/13</f>
        <v>82376978.151538491</v>
      </c>
      <c r="D62" s="903">
        <f>SUM(D49:D61)/13</f>
        <v>21534532.90076923</v>
      </c>
      <c r="E62" s="903">
        <f>SUM(E49:E61)/13</f>
        <v>0</v>
      </c>
      <c r="F62" s="902">
        <f>SUM(F49:F61)/13</f>
        <v>0</v>
      </c>
      <c r="G62"/>
      <c r="H62"/>
      <c r="I62"/>
      <c r="J62"/>
      <c r="K62"/>
      <c r="L62" s="6"/>
    </row>
    <row r="63" spans="1:12" ht="13.5" thickTop="1">
      <c r="A63" s="901"/>
      <c r="B63" s="900"/>
      <c r="G63"/>
      <c r="H63"/>
      <c r="I63"/>
      <c r="J63"/>
      <c r="K63"/>
    </row>
    <row r="64" spans="1:12">
      <c r="A64" s="901">
        <v>43</v>
      </c>
      <c r="B64" s="900" t="s">
        <v>633</v>
      </c>
      <c r="D64" s="899">
        <f>+E42-D62</f>
        <v>721775687.6084615</v>
      </c>
      <c r="I64" s="898"/>
      <c r="K64" s="6"/>
    </row>
    <row r="65" spans="1:7" customFormat="1"/>
    <row r="66" spans="1:7" customFormat="1">
      <c r="A66" s="897"/>
      <c r="B66" s="280"/>
      <c r="C66" s="281"/>
      <c r="D66" s="282"/>
      <c r="E66" s="69"/>
      <c r="F66" s="69"/>
      <c r="G66" s="83"/>
    </row>
    <row r="67" spans="1:7" customFormat="1" ht="25.5">
      <c r="A67" s="956" t="s">
        <v>3</v>
      </c>
      <c r="B67" s="280"/>
      <c r="C67" s="953" t="s">
        <v>2</v>
      </c>
      <c r="D67" s="954" t="str">
        <f>"Balance @ December 31, "&amp;TCOS!L4&amp;""</f>
        <v>Balance @ December 31, 2020</v>
      </c>
      <c r="E67" s="955" t="str">
        <f>"Balance @ December 31, "&amp;TCOS!L4-1&amp;""</f>
        <v>Balance @ December 31, 2019</v>
      </c>
      <c r="F67" s="955" t="str">
        <f>"Average Balance for "&amp;TCOS!L4&amp;""</f>
        <v>Average Balance for 2020</v>
      </c>
      <c r="G67" s="83"/>
    </row>
    <row r="68" spans="1:7" customFormat="1">
      <c r="A68" s="88"/>
      <c r="B68" s="919" t="s">
        <v>644</v>
      </c>
      <c r="C68" s="919" t="s">
        <v>643</v>
      </c>
      <c r="D68" s="919" t="s">
        <v>642</v>
      </c>
      <c r="E68" s="919" t="s">
        <v>641</v>
      </c>
      <c r="F68" s="919" t="s">
        <v>640</v>
      </c>
      <c r="G68" s="83"/>
    </row>
    <row r="69" spans="1:7" customFormat="1">
      <c r="A69" s="283">
        <f>+A64+1</f>
        <v>44</v>
      </c>
      <c r="B69" s="88" t="s">
        <v>3</v>
      </c>
      <c r="C69" s="286" t="s">
        <v>374</v>
      </c>
      <c r="D69" s="844">
        <v>3735818</v>
      </c>
      <c r="E69" s="844">
        <v>4707227.8499999996</v>
      </c>
      <c r="F69" s="133">
        <f>IF(E69="",0,AVERAGE(D69:E69))</f>
        <v>4221522.9249999998</v>
      </c>
    </row>
    <row r="70" spans="1:7" customFormat="1">
      <c r="A70" s="279"/>
      <c r="B70" s="287"/>
      <c r="C70" s="287"/>
      <c r="F70" s="83"/>
    </row>
    <row r="71" spans="1:7" customFormat="1">
      <c r="A71" s="278">
        <f>+A69+1</f>
        <v>45</v>
      </c>
      <c r="B71" s="88" t="s">
        <v>827</v>
      </c>
      <c r="C71" s="304" t="s">
        <v>67</v>
      </c>
      <c r="D71" s="844">
        <v>1627884.76</v>
      </c>
      <c r="E71" s="844">
        <v>1627885</v>
      </c>
      <c r="F71" s="133">
        <f>IF(E71="",0,AVERAGE(D71:E71))</f>
        <v>1627884.88</v>
      </c>
    </row>
    <row r="72" spans="1:7" customFormat="1">
      <c r="A72" s="228"/>
      <c r="B72" s="228"/>
      <c r="C72" s="228"/>
      <c r="D72" s="228"/>
    </row>
    <row r="73" spans="1:7" customFormat="1">
      <c r="A73" s="88" t="s">
        <v>236</v>
      </c>
      <c r="B73" s="228"/>
      <c r="C73" s="228"/>
      <c r="D73" s="228"/>
    </row>
    <row r="74" spans="1:7" customFormat="1">
      <c r="A74" s="284"/>
      <c r="B74" s="285" t="s">
        <v>360</v>
      </c>
      <c r="C74" s="285"/>
      <c r="D74" s="77"/>
      <c r="E74" s="77"/>
      <c r="F74" s="77"/>
    </row>
    <row r="75" spans="1:7" customFormat="1">
      <c r="A75" s="283">
        <f>+A71+1</f>
        <v>46</v>
      </c>
      <c r="B75" s="1240" t="s">
        <v>114</v>
      </c>
      <c r="C75" s="1102"/>
      <c r="D75" s="844">
        <v>0</v>
      </c>
      <c r="E75" s="844" t="s">
        <v>114</v>
      </c>
      <c r="F75" s="133">
        <f>IF(E75="",0,AVERAGE(D75:E75))</f>
        <v>0</v>
      </c>
    </row>
    <row r="76" spans="1:7" customFormat="1">
      <c r="A76" s="283">
        <f>+A75+1</f>
        <v>47</v>
      </c>
      <c r="B76" s="845"/>
      <c r="C76" s="845"/>
      <c r="D76" s="844"/>
      <c r="E76" s="844"/>
      <c r="F76" s="133">
        <f>IF(E76="",0,AVERAGE(D76:E76))</f>
        <v>0</v>
      </c>
    </row>
    <row r="77" spans="1:7" customFormat="1">
      <c r="A77" s="283">
        <f>+A76+1</f>
        <v>48</v>
      </c>
      <c r="B77" s="845"/>
      <c r="C77" s="845"/>
      <c r="D77" s="844"/>
      <c r="E77" s="844"/>
      <c r="F77" s="133">
        <f>IF(E77="",0,AVERAGE(D77:E77))</f>
        <v>0</v>
      </c>
    </row>
    <row r="78" spans="1:7" customFormat="1">
      <c r="A78" s="283">
        <f>+A77+1</f>
        <v>49</v>
      </c>
      <c r="B78" s="845"/>
      <c r="C78" s="845"/>
      <c r="D78" s="844"/>
      <c r="E78" s="844"/>
      <c r="F78" s="133">
        <f>IF(E78="",0,AVERAGE(D78:E78))</f>
        <v>0</v>
      </c>
    </row>
    <row r="79" spans="1:7" customFormat="1">
      <c r="A79" s="283">
        <f>+A78+1</f>
        <v>50</v>
      </c>
      <c r="B79" s="845"/>
      <c r="C79" s="845"/>
      <c r="D79" s="846"/>
      <c r="E79" s="846"/>
      <c r="F79" s="961">
        <f>IF(E79="",0,AVERAGE(D79:E79))</f>
        <v>0</v>
      </c>
    </row>
    <row r="80" spans="1:7" customFormat="1">
      <c r="A80" s="283">
        <f>+A79+1</f>
        <v>51</v>
      </c>
      <c r="B80" s="285" t="s">
        <v>497</v>
      </c>
      <c r="C80" s="285"/>
      <c r="D80" s="183">
        <f>SUM(D75:D79)</f>
        <v>0</v>
      </c>
      <c r="E80" s="183">
        <f>SUM(E75:E79)</f>
        <v>0</v>
      </c>
      <c r="F80" s="183">
        <f>SUM(F75:F79)</f>
        <v>0</v>
      </c>
    </row>
    <row r="81" spans="1:7" customFormat="1">
      <c r="A81" s="283"/>
      <c r="B81" s="285"/>
      <c r="C81" s="285"/>
      <c r="D81" s="183"/>
      <c r="E81" s="183"/>
      <c r="F81" s="183"/>
    </row>
    <row r="82" spans="1:7" customFormat="1" ht="18">
      <c r="A82" s="88" t="s">
        <v>756</v>
      </c>
      <c r="B82" s="894"/>
      <c r="C82" s="894"/>
      <c r="D82" s="894"/>
      <c r="E82" s="77"/>
      <c r="F82" s="77"/>
      <c r="G82" s="77"/>
    </row>
    <row r="83" spans="1:7" customFormat="1">
      <c r="A83" s="74"/>
      <c r="B83" s="234"/>
      <c r="C83" s="237"/>
      <c r="D83" s="8"/>
      <c r="E83" s="77"/>
      <c r="F83" s="77"/>
      <c r="G83" s="77"/>
    </row>
    <row r="84" spans="1:7" customFormat="1">
      <c r="A84" s="74">
        <f>+A80+1</f>
        <v>52</v>
      </c>
      <c r="B84" s="13" t="s">
        <v>167</v>
      </c>
      <c r="C84" s="13" t="s">
        <v>306</v>
      </c>
      <c r="D84" s="957"/>
      <c r="E84" s="21"/>
      <c r="F84" s="13"/>
      <c r="G84" s="21"/>
    </row>
    <row r="85" spans="1:7" customFormat="1" ht="14.25">
      <c r="A85" s="958" t="s">
        <v>749</v>
      </c>
      <c r="B85" s="1240" t="s">
        <v>870</v>
      </c>
      <c r="C85" s="1102">
        <v>2282003</v>
      </c>
      <c r="D85" s="844">
        <v>252226.98</v>
      </c>
      <c r="E85" s="844">
        <v>325877.67</v>
      </c>
      <c r="F85" s="962">
        <f>IF(E85="",0,AVERAGE(D85:E85))</f>
        <v>289052.32500000001</v>
      </c>
      <c r="G85" s="21"/>
    </row>
    <row r="86" spans="1:7" customFormat="1" ht="14.25">
      <c r="A86" s="959" t="s">
        <v>750</v>
      </c>
      <c r="B86" s="1240" t="s">
        <v>1439</v>
      </c>
      <c r="C86" s="1102" t="s">
        <v>1441</v>
      </c>
      <c r="D86" s="844">
        <v>576417.51</v>
      </c>
      <c r="E86" s="844">
        <v>551535</v>
      </c>
      <c r="F86" s="962">
        <f>IF(E86="",0,AVERAGE(D86:E86))</f>
        <v>563976.255</v>
      </c>
      <c r="G86" s="21"/>
    </row>
    <row r="87" spans="1:7" customFormat="1" ht="14.25">
      <c r="A87" s="1463" t="s">
        <v>1438</v>
      </c>
      <c r="B87" s="1240" t="s">
        <v>1440</v>
      </c>
      <c r="C87" s="1102" t="s">
        <v>1442</v>
      </c>
      <c r="D87" s="846">
        <v>5492826.5099999998</v>
      </c>
      <c r="E87" s="846">
        <v>5443409.4299999997</v>
      </c>
      <c r="F87" s="963">
        <f>IF(E87="",0,AVERAGE(D87:E87))</f>
        <v>5468117.9699999997</v>
      </c>
      <c r="G87" s="21"/>
    </row>
    <row r="88" spans="1:7" customFormat="1" ht="18" customHeight="1">
      <c r="A88" s="960">
        <v>54</v>
      </c>
      <c r="B88" s="21"/>
      <c r="C88" s="5" t="s">
        <v>118</v>
      </c>
      <c r="D88" s="899">
        <f>SUM(D85:D87)</f>
        <v>6321471</v>
      </c>
      <c r="E88" s="899">
        <f>SUM(E85:E87)</f>
        <v>6320822.0999999996</v>
      </c>
      <c r="F88" s="899">
        <f>SUM(F85:F87)</f>
        <v>6321146.5499999998</v>
      </c>
      <c r="G88" s="21"/>
    </row>
    <row r="89" spans="1:7" customFormat="1">
      <c r="A89" s="283"/>
      <c r="B89" s="285"/>
      <c r="C89" s="285"/>
      <c r="D89" s="285"/>
      <c r="G89" s="21"/>
    </row>
    <row r="90" spans="1:7">
      <c r="A90" s="952" t="s">
        <v>675</v>
      </c>
      <c r="B90" s="285"/>
      <c r="C90" s="285"/>
      <c r="D90" s="285"/>
      <c r="G90" s="957"/>
    </row>
    <row r="91" spans="1:7">
      <c r="A91" s="952" t="s">
        <v>674</v>
      </c>
      <c r="B91" s="285"/>
      <c r="C91" s="285"/>
      <c r="D91" s="285"/>
    </row>
    <row r="92" spans="1:7">
      <c r="A92"/>
      <c r="B92"/>
      <c r="C92"/>
      <c r="D92"/>
    </row>
    <row r="93" spans="1:7">
      <c r="A93"/>
      <c r="B93"/>
      <c r="C93"/>
      <c r="D93"/>
    </row>
    <row r="94" spans="1:7">
      <c r="A94"/>
      <c r="B94"/>
      <c r="C94"/>
      <c r="D94"/>
    </row>
    <row r="95" spans="1:7">
      <c r="A95"/>
      <c r="B95"/>
      <c r="C95"/>
      <c r="D95"/>
    </row>
    <row r="96" spans="1:7">
      <c r="A96"/>
      <c r="B96"/>
      <c r="C96"/>
      <c r="D96"/>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7"/>
  <sheetViews>
    <sheetView view="pageBreakPreview" topLeftCell="A13" zoomScaleNormal="75" zoomScaleSheetLayoutView="100" workbookViewId="0">
      <selection activeCell="D37" sqref="D37"/>
    </sheetView>
  </sheetViews>
  <sheetFormatPr defaultColWidth="9.140625" defaultRowHeight="12.75"/>
  <cols>
    <col min="1" max="1" width="8.140625" style="1186" customWidth="1"/>
    <col min="2" max="2" width="28.85546875" style="1186" customWidth="1"/>
    <col min="3" max="3" width="17.85546875" style="1186" customWidth="1"/>
    <col min="4" max="4" width="19.42578125" style="1186" customWidth="1"/>
    <col min="5" max="6" width="19.85546875" style="1186" customWidth="1"/>
    <col min="7" max="7" width="21.42578125" style="1186" customWidth="1"/>
    <col min="8" max="9" width="19.85546875" style="1186" customWidth="1"/>
    <col min="10" max="10" width="21.42578125" style="1186" customWidth="1"/>
    <col min="11" max="11" width="18.140625" style="1186" customWidth="1"/>
    <col min="12" max="12" width="22.42578125" style="1186" customWidth="1"/>
    <col min="13" max="13" width="22.140625" style="1186" customWidth="1"/>
    <col min="14" max="14" width="11.140625" style="1186" customWidth="1"/>
    <col min="15" max="15" width="11.42578125" style="1186" bestFit="1" customWidth="1"/>
    <col min="16" max="16" width="12.42578125" style="1186" customWidth="1"/>
    <col min="17" max="17" width="9.140625" style="1186"/>
    <col min="18" max="18" width="10.42578125" style="1186" bestFit="1" customWidth="1"/>
    <col min="19" max="19" width="9.140625" style="1186"/>
    <col min="20" max="20" width="12.85546875" style="1186" customWidth="1"/>
    <col min="21" max="21" width="13.5703125" style="1186" customWidth="1"/>
    <col min="22" max="16384" width="9.140625" style="1186"/>
  </cols>
  <sheetData>
    <row r="1" spans="1:17" ht="15.75">
      <c r="A1" s="1185" t="s">
        <v>114</v>
      </c>
    </row>
    <row r="2" spans="1:17" ht="15.75">
      <c r="A2" s="1185" t="s">
        <v>114</v>
      </c>
    </row>
    <row r="3" spans="1:17" ht="15.75">
      <c r="A3" s="1568" t="s">
        <v>387</v>
      </c>
      <c r="B3" s="1568"/>
      <c r="C3" s="1568"/>
      <c r="D3" s="1568"/>
      <c r="E3" s="1568"/>
      <c r="F3" s="1568"/>
      <c r="G3" s="1568"/>
      <c r="H3" s="1568"/>
      <c r="I3" s="1568"/>
      <c r="J3" s="1568"/>
      <c r="K3" s="1568"/>
      <c r="L3" s="1187"/>
      <c r="M3" s="1187"/>
      <c r="N3" s="1188"/>
      <c r="O3" s="1188"/>
      <c r="P3" s="1188"/>
      <c r="Q3" s="1188"/>
    </row>
    <row r="4" spans="1:17" ht="15.75">
      <c r="A4" s="1569" t="str">
        <f>"Cost of Service Formula Rate Using Actual/Projected FF1 Balances"</f>
        <v>Cost of Service Formula Rate Using Actual/Projected FF1 Balances</v>
      </c>
      <c r="B4" s="1570"/>
      <c r="C4" s="1570"/>
      <c r="D4" s="1570"/>
      <c r="E4" s="1570"/>
      <c r="F4" s="1570"/>
      <c r="G4" s="1570"/>
      <c r="H4" s="1570"/>
      <c r="I4" s="1570"/>
      <c r="J4" s="1570"/>
      <c r="K4" s="1570"/>
      <c r="L4" s="1189"/>
      <c r="M4" s="1191"/>
      <c r="N4" s="1192"/>
      <c r="O4" s="1192"/>
      <c r="P4" s="1192"/>
      <c r="Q4" s="1192"/>
    </row>
    <row r="5" spans="1:17" ht="15.75">
      <c r="A5" s="1571" t="s">
        <v>855</v>
      </c>
      <c r="B5" s="1571"/>
      <c r="C5" s="1571"/>
      <c r="D5" s="1571"/>
      <c r="E5" s="1571"/>
      <c r="F5" s="1571"/>
      <c r="G5" s="1571"/>
      <c r="H5" s="1571"/>
      <c r="I5" s="1571"/>
      <c r="J5" s="1571"/>
      <c r="K5" s="1571"/>
      <c r="L5" s="1189"/>
      <c r="M5" s="1193"/>
      <c r="N5" s="1193"/>
      <c r="O5" s="1193"/>
      <c r="P5" s="1193"/>
      <c r="Q5" s="1193"/>
    </row>
    <row r="6" spans="1:17" ht="15.75">
      <c r="A6" s="1572" t="str">
        <f>TCOS!F9</f>
        <v>Appalachian Power Company</v>
      </c>
      <c r="B6" s="1572"/>
      <c r="C6" s="1572"/>
      <c r="D6" s="1572"/>
      <c r="E6" s="1572"/>
      <c r="F6" s="1572"/>
      <c r="G6" s="1572"/>
      <c r="H6" s="1572"/>
      <c r="I6" s="1572"/>
      <c r="J6" s="1572"/>
      <c r="K6" s="1572"/>
      <c r="L6" s="1194"/>
      <c r="M6" s="1194"/>
      <c r="N6" s="1195"/>
      <c r="O6" s="1195"/>
      <c r="P6" s="1195"/>
      <c r="Q6" s="1195"/>
    </row>
    <row r="9" spans="1:17">
      <c r="B9" s="1565"/>
      <c r="C9" s="1565"/>
      <c r="D9" s="1565"/>
      <c r="E9" s="1565"/>
      <c r="F9" s="1565"/>
      <c r="G9" s="1565"/>
      <c r="H9" s="1565"/>
      <c r="I9" s="1565"/>
      <c r="J9" s="1565"/>
      <c r="K9" s="1565"/>
      <c r="L9" s="1565"/>
      <c r="M9" s="1565"/>
      <c r="N9" s="1197"/>
      <c r="O9" s="1197"/>
      <c r="P9" s="1197"/>
      <c r="Q9" s="1197"/>
    </row>
    <row r="10" spans="1:17">
      <c r="I10" s="1197"/>
      <c r="J10" s="1197"/>
      <c r="K10" s="1197"/>
      <c r="L10" s="1197"/>
      <c r="M10" s="1197"/>
      <c r="N10" s="1197"/>
      <c r="O10" s="1197"/>
      <c r="P10" s="1197"/>
      <c r="Q10" s="1197"/>
    </row>
    <row r="11" spans="1:17">
      <c r="I11" s="1197"/>
      <c r="J11" s="1197"/>
      <c r="K11" s="1197"/>
      <c r="L11" s="1197"/>
      <c r="M11" s="1197"/>
      <c r="N11" s="1197"/>
      <c r="O11" s="1197"/>
      <c r="P11" s="1197"/>
      <c r="Q11" s="1197"/>
    </row>
    <row r="12" spans="1:17">
      <c r="A12" s="1190">
        <v>1</v>
      </c>
      <c r="B12" s="1186" t="s">
        <v>829</v>
      </c>
      <c r="E12" s="1229">
        <v>-127041505</v>
      </c>
      <c r="I12" s="1209"/>
      <c r="J12" s="1197"/>
      <c r="K12" s="1197"/>
      <c r="L12" s="1197"/>
      <c r="M12" s="1197"/>
      <c r="N12" s="1197"/>
      <c r="O12" s="1197"/>
      <c r="P12" s="1197"/>
      <c r="Q12" s="1197"/>
    </row>
    <row r="13" spans="1:17">
      <c r="I13" s="1209"/>
      <c r="J13" s="1197"/>
      <c r="K13" s="1197"/>
      <c r="L13" s="1197"/>
      <c r="M13" s="1197"/>
      <c r="N13" s="1197"/>
      <c r="O13" s="1197"/>
      <c r="P13" s="1197"/>
      <c r="Q13" s="1197"/>
    </row>
    <row r="14" spans="1:17">
      <c r="B14" s="1562" t="str">
        <f>"Allocation of PBOP Settlement Amount for "&amp;TCOS!L4&amp;""</f>
        <v>Allocation of PBOP Settlement Amount for 2020</v>
      </c>
      <c r="C14" s="1562"/>
      <c r="D14" s="1198"/>
      <c r="E14" s="1198"/>
      <c r="F14" s="1198"/>
      <c r="G14" s="1198"/>
      <c r="H14" s="1198"/>
      <c r="I14" s="1198"/>
      <c r="J14" s="1198"/>
      <c r="K14" s="1198"/>
      <c r="L14" s="1198"/>
      <c r="M14" s="1198"/>
      <c r="N14" s="1197"/>
      <c r="O14" s="1197"/>
      <c r="P14" s="1197"/>
      <c r="Q14" s="1197"/>
    </row>
    <row r="15" spans="1:17">
      <c r="C15" s="1565" t="s">
        <v>830</v>
      </c>
      <c r="D15" s="1565"/>
      <c r="E15" s="1565"/>
      <c r="F15" s="1196"/>
      <c r="N15" s="1197"/>
      <c r="O15" s="1197"/>
      <c r="P15" s="1197"/>
      <c r="Q15" s="1197"/>
    </row>
    <row r="16" spans="1:17">
      <c r="B16" s="1209"/>
      <c r="C16" s="1566" t="s">
        <v>831</v>
      </c>
      <c r="D16" s="1566" t="s">
        <v>832</v>
      </c>
      <c r="E16" s="1566" t="s">
        <v>833</v>
      </c>
      <c r="F16" s="1225"/>
      <c r="G16" s="1225"/>
      <c r="H16" s="1225"/>
      <c r="I16" s="1566" t="s">
        <v>834</v>
      </c>
      <c r="N16" s="1197"/>
      <c r="O16" s="1197"/>
      <c r="P16" s="1197"/>
      <c r="Q16" s="1197"/>
    </row>
    <row r="17" spans="1:17" ht="12.75" customHeight="1">
      <c r="C17" s="1563"/>
      <c r="D17" s="1563"/>
      <c r="E17" s="1563"/>
      <c r="F17" s="1566" t="str">
        <f>"Labor Allocator for "&amp;TCOS!L4&amp;""</f>
        <v>Labor Allocator for 2020</v>
      </c>
      <c r="G17" s="1228"/>
      <c r="H17" s="1567" t="s">
        <v>835</v>
      </c>
      <c r="I17" s="1566"/>
      <c r="N17" s="1197"/>
      <c r="O17" s="1197"/>
      <c r="P17" s="1197"/>
      <c r="Q17" s="1197"/>
    </row>
    <row r="18" spans="1:17">
      <c r="A18" s="1199" t="s">
        <v>836</v>
      </c>
      <c r="B18" s="1196" t="s">
        <v>183</v>
      </c>
      <c r="C18" s="1563"/>
      <c r="D18" s="1563"/>
      <c r="E18" s="1563"/>
      <c r="F18" s="1566"/>
      <c r="G18" s="1231" t="s">
        <v>837</v>
      </c>
      <c r="H18" s="1567"/>
      <c r="I18" s="1566"/>
      <c r="N18" s="1197"/>
      <c r="O18" s="1197"/>
      <c r="P18" s="1197"/>
      <c r="Q18" s="1197"/>
    </row>
    <row r="19" spans="1:17">
      <c r="B19" s="1196"/>
      <c r="C19" s="1208"/>
      <c r="D19" s="1208"/>
      <c r="E19" s="1208"/>
      <c r="F19" s="1225"/>
      <c r="G19" s="1228"/>
      <c r="H19" s="1228"/>
      <c r="I19" s="1208"/>
      <c r="N19" s="1197"/>
      <c r="O19" s="1197"/>
      <c r="P19" s="1197"/>
      <c r="Q19" s="1197"/>
    </row>
    <row r="20" spans="1:17" ht="25.5">
      <c r="B20" s="1196"/>
      <c r="C20" s="1225" t="s">
        <v>162</v>
      </c>
      <c r="D20" s="1225" t="s">
        <v>838</v>
      </c>
      <c r="E20" s="1226" t="str">
        <f>"(C )=(B) * "&amp;E12&amp;""</f>
        <v>(C )=(B) * -127041505</v>
      </c>
      <c r="F20" s="1225" t="s">
        <v>165</v>
      </c>
      <c r="G20" s="1232" t="s">
        <v>839</v>
      </c>
      <c r="H20" s="1232" t="s">
        <v>840</v>
      </c>
      <c r="I20" s="1226" t="s">
        <v>841</v>
      </c>
      <c r="N20" s="1197"/>
      <c r="O20" s="1197"/>
      <c r="P20" s="1197"/>
      <c r="Q20" s="1197"/>
    </row>
    <row r="21" spans="1:17">
      <c r="B21" s="1196"/>
      <c r="C21" s="1225" t="str">
        <f>"(Line "&amp;A47&amp;")"</f>
        <v>(Line 14)</v>
      </c>
      <c r="D21" s="1225"/>
      <c r="E21" s="1226"/>
      <c r="F21" s="1225"/>
      <c r="G21" s="1228"/>
      <c r="H21" s="1230"/>
      <c r="I21" s="1226"/>
      <c r="N21" s="1197"/>
      <c r="O21" s="1197"/>
      <c r="P21" s="1197"/>
      <c r="Q21" s="1197"/>
    </row>
    <row r="22" spans="1:17">
      <c r="A22" s="1186">
        <v>2</v>
      </c>
      <c r="B22" s="1186" t="s">
        <v>842</v>
      </c>
      <c r="C22" s="1233">
        <f>D47</f>
        <v>-21654307.467475709</v>
      </c>
      <c r="D22" s="1234">
        <f t="shared" ref="D22:D27" si="0">+C22/C$28</f>
        <v>0.35876167417368016</v>
      </c>
      <c r="E22" s="1207">
        <f t="shared" ref="E22:E27" si="1">ROUND(D22*E$28,0)</f>
        <v>-45577623</v>
      </c>
      <c r="F22" s="1301">
        <v>0.10558528374676276</v>
      </c>
      <c r="G22" s="1228">
        <f t="shared" ref="G22:G27" si="2">+C22*F22</f>
        <v>-2286376.1982930666</v>
      </c>
      <c r="H22" s="1228">
        <f t="shared" ref="H22:H27" si="3">+F22*E22</f>
        <v>-4812326.2569579808</v>
      </c>
      <c r="I22" s="1207">
        <f t="shared" ref="I22:I27" si="4">+G22-H22</f>
        <v>2525950.0586649142</v>
      </c>
      <c r="N22" s="1197"/>
      <c r="O22" s="1197"/>
      <c r="P22" s="1197"/>
      <c r="Q22" s="1197"/>
    </row>
    <row r="23" spans="1:17">
      <c r="A23" s="1186">
        <f t="shared" ref="A23:A28" si="5">+A22+1</f>
        <v>3</v>
      </c>
      <c r="B23" s="1186" t="s">
        <v>843</v>
      </c>
      <c r="C23" s="1233">
        <f>F47</f>
        <v>-16228939.79138932</v>
      </c>
      <c r="D23" s="1234">
        <f t="shared" si="0"/>
        <v>0.26887590925582294</v>
      </c>
      <c r="E23" s="1207">
        <f t="shared" si="1"/>
        <v>-34158400</v>
      </c>
      <c r="F23" s="1301">
        <v>4.6366966769266861E-2</v>
      </c>
      <c r="G23" s="1228">
        <f t="shared" si="2"/>
        <v>-752486.71200778126</v>
      </c>
      <c r="H23" s="1228">
        <f t="shared" si="3"/>
        <v>-1583821.3976913251</v>
      </c>
      <c r="I23" s="1207">
        <f t="shared" si="4"/>
        <v>831334.68568354379</v>
      </c>
      <c r="N23" s="1197"/>
      <c r="O23" s="1197"/>
      <c r="P23" s="1197"/>
      <c r="Q23" s="1197"/>
    </row>
    <row r="24" spans="1:17">
      <c r="A24" s="1186">
        <f t="shared" si="5"/>
        <v>4</v>
      </c>
      <c r="B24" s="1186" t="s">
        <v>844</v>
      </c>
      <c r="C24" s="1233">
        <f>G47</f>
        <v>-5029149.6276965057</v>
      </c>
      <c r="D24" s="1234">
        <f t="shared" si="0"/>
        <v>8.3321350397019461E-2</v>
      </c>
      <c r="E24" s="1207">
        <f t="shared" si="1"/>
        <v>-10585270</v>
      </c>
      <c r="F24" s="1301">
        <v>8.698323061964805E-2</v>
      </c>
      <c r="G24" s="1228">
        <f t="shared" si="2"/>
        <v>-437451.6818866423</v>
      </c>
      <c r="H24" s="1228">
        <f t="shared" si="3"/>
        <v>-920740.98158124194</v>
      </c>
      <c r="I24" s="1207">
        <f t="shared" si="4"/>
        <v>483289.29969459964</v>
      </c>
      <c r="N24" s="1197"/>
      <c r="O24" s="1197"/>
      <c r="P24" s="1197"/>
      <c r="Q24" s="1197"/>
    </row>
    <row r="25" spans="1:17">
      <c r="A25" s="1186">
        <f t="shared" si="5"/>
        <v>5</v>
      </c>
      <c r="B25" s="1186" t="s">
        <v>845</v>
      </c>
      <c r="C25" s="1233">
        <f>H47</f>
        <v>-536872.72435634432</v>
      </c>
      <c r="D25" s="1234">
        <f t="shared" si="0"/>
        <v>8.8947364258848641E-3</v>
      </c>
      <c r="E25" s="1207">
        <f t="shared" si="1"/>
        <v>-1130001</v>
      </c>
      <c r="F25" s="1301">
        <v>0.12563147562389748</v>
      </c>
      <c r="G25" s="1228">
        <f t="shared" si="2"/>
        <v>-67448.112583109498</v>
      </c>
      <c r="H25" s="1228">
        <f t="shared" si="3"/>
        <v>-141963.69308647979</v>
      </c>
      <c r="I25" s="1207">
        <f t="shared" si="4"/>
        <v>74515.580503370293</v>
      </c>
      <c r="N25" s="1197"/>
      <c r="O25" s="1197"/>
      <c r="P25" s="1197"/>
      <c r="Q25" s="1197"/>
    </row>
    <row r="26" spans="1:17">
      <c r="A26" s="1186">
        <f t="shared" si="5"/>
        <v>6</v>
      </c>
      <c r="B26" s="1186" t="s">
        <v>846</v>
      </c>
      <c r="C26" s="1233">
        <f>I47</f>
        <v>-15971668.870504033</v>
      </c>
      <c r="D26" s="1234">
        <f t="shared" si="0"/>
        <v>0.26461352652058007</v>
      </c>
      <c r="E26" s="1207">
        <f t="shared" si="1"/>
        <v>-33616901</v>
      </c>
      <c r="F26" s="1301">
        <v>0.12672042175105022</v>
      </c>
      <c r="G26" s="1228">
        <f t="shared" si="2"/>
        <v>-2023936.6153383909</v>
      </c>
      <c r="H26" s="1228">
        <f t="shared" si="3"/>
        <v>-4259947.8726833016</v>
      </c>
      <c r="I26" s="1207">
        <f t="shared" si="4"/>
        <v>2236011.2573449109</v>
      </c>
      <c r="N26" s="1197"/>
      <c r="O26" s="1197"/>
      <c r="P26" s="1197"/>
      <c r="Q26" s="1197"/>
    </row>
    <row r="27" spans="1:17">
      <c r="A27" s="1186">
        <f t="shared" si="5"/>
        <v>7</v>
      </c>
      <c r="B27" s="1186" t="s">
        <v>847</v>
      </c>
      <c r="C27" s="1235">
        <f>J47</f>
        <v>-937536.3120495826</v>
      </c>
      <c r="D27" s="1234">
        <f t="shared" si="0"/>
        <v>1.5532803227012431E-2</v>
      </c>
      <c r="E27" s="1236">
        <f t="shared" si="1"/>
        <v>-1973311</v>
      </c>
      <c r="F27" s="1454">
        <v>3.775205904485987E-2</v>
      </c>
      <c r="G27" s="1237">
        <f t="shared" si="2"/>
        <v>-35393.926209196012</v>
      </c>
      <c r="H27" s="1237">
        <f t="shared" si="3"/>
        <v>-74496.553385871477</v>
      </c>
      <c r="I27" s="1236">
        <f t="shared" si="4"/>
        <v>39102.627176675465</v>
      </c>
      <c r="N27" s="1197"/>
      <c r="O27" s="1197"/>
      <c r="P27" s="1197"/>
      <c r="Q27" s="1197"/>
    </row>
    <row r="28" spans="1:17">
      <c r="A28" s="1186">
        <f t="shared" si="5"/>
        <v>8</v>
      </c>
      <c r="B28" s="1196" t="str">
        <f>"Sum of Lines "&amp;A22&amp;" to "&amp;A27&amp;""</f>
        <v>Sum of Lines 2 to 7</v>
      </c>
      <c r="C28" s="1207">
        <f>SUM(C22:C27)</f>
        <v>-60358474.7934715</v>
      </c>
      <c r="E28" s="1228">
        <f>+E12</f>
        <v>-127041505</v>
      </c>
      <c r="F28" s="1228"/>
      <c r="G28" s="1228">
        <f>SUM(G22:G27)</f>
        <v>-5603093.2463181876</v>
      </c>
      <c r="H28" s="1228">
        <f>SUM(H22:H27)</f>
        <v>-11793296.755386202</v>
      </c>
      <c r="I28" s="1228">
        <f>SUM(I22:I27)</f>
        <v>6190203.5090680132</v>
      </c>
      <c r="N28" s="1197"/>
      <c r="O28" s="1197"/>
      <c r="P28" s="1197"/>
      <c r="Q28" s="1197"/>
    </row>
    <row r="29" spans="1:17">
      <c r="C29" s="1207"/>
      <c r="N29" s="1197"/>
      <c r="O29" s="1197"/>
      <c r="P29" s="1197"/>
      <c r="Q29" s="1197"/>
    </row>
    <row r="30" spans="1:17">
      <c r="I30" s="1209"/>
      <c r="N30" s="1197"/>
      <c r="O30" s="1197"/>
      <c r="P30" s="1197"/>
      <c r="Q30" s="1197"/>
    </row>
    <row r="31" spans="1:17">
      <c r="F31" s="1186" t="s">
        <v>114</v>
      </c>
      <c r="I31" s="1209"/>
      <c r="J31" s="1197"/>
      <c r="K31" s="1197"/>
      <c r="L31" s="1197"/>
      <c r="M31" s="1197"/>
      <c r="N31" s="1197"/>
      <c r="O31" s="1197"/>
      <c r="P31" s="1197"/>
      <c r="Q31" s="1197"/>
    </row>
    <row r="32" spans="1:17" ht="15.75">
      <c r="F32" s="1309"/>
      <c r="I32" s="1209"/>
      <c r="J32" s="1197"/>
      <c r="K32" s="1197"/>
      <c r="L32" s="1197"/>
      <c r="M32" s="1197"/>
      <c r="N32" s="1197"/>
      <c r="O32" s="1197"/>
      <c r="P32" s="1197"/>
      <c r="Q32" s="1197"/>
    </row>
    <row r="33" spans="1:17">
      <c r="B33" s="1199" t="s">
        <v>856</v>
      </c>
      <c r="F33" s="1200"/>
      <c r="I33" s="1209"/>
      <c r="J33" s="1197"/>
      <c r="K33" s="1197"/>
      <c r="L33" s="1197"/>
      <c r="M33" s="1197"/>
      <c r="N33" s="1197"/>
      <c r="O33" s="1197"/>
      <c r="P33" s="1197"/>
      <c r="Q33" s="1197"/>
    </row>
    <row r="34" spans="1:17">
      <c r="E34" s="1200"/>
      <c r="I34" s="1201"/>
      <c r="J34" s="1197"/>
      <c r="K34" s="1197"/>
      <c r="L34" s="1197"/>
      <c r="M34" s="1197"/>
      <c r="N34" s="1197"/>
      <c r="O34" s="1197"/>
      <c r="P34" s="1197"/>
      <c r="Q34" s="1197"/>
    </row>
    <row r="35" spans="1:17">
      <c r="D35" s="1202" t="s">
        <v>842</v>
      </c>
      <c r="E35" s="1203"/>
      <c r="F35" s="1202" t="s">
        <v>843</v>
      </c>
      <c r="G35" s="1202" t="s">
        <v>844</v>
      </c>
      <c r="H35" s="1202" t="s">
        <v>848</v>
      </c>
      <c r="I35" s="1204" t="s">
        <v>846</v>
      </c>
      <c r="J35" s="1204" t="s">
        <v>847</v>
      </c>
      <c r="K35" s="1204" t="s">
        <v>849</v>
      </c>
      <c r="L35" s="1197"/>
      <c r="M35" s="1197"/>
      <c r="N35" s="1197"/>
      <c r="O35" s="1197"/>
      <c r="P35" s="1197"/>
      <c r="Q35" s="1197"/>
    </row>
    <row r="36" spans="1:17">
      <c r="E36" s="1205"/>
      <c r="I36" s="1197"/>
      <c r="J36" s="1197"/>
      <c r="K36" s="1197"/>
      <c r="L36" s="1197"/>
      <c r="M36" s="1197"/>
      <c r="N36" s="1197"/>
      <c r="O36" s="1197"/>
      <c r="P36" s="1197"/>
      <c r="Q36" s="1197"/>
    </row>
    <row r="37" spans="1:17">
      <c r="A37" s="1186">
        <f>+A28+1</f>
        <v>9</v>
      </c>
      <c r="B37" s="1186" t="s">
        <v>850</v>
      </c>
      <c r="D37" s="1355">
        <v>-16929943</v>
      </c>
      <c r="E37" s="1356"/>
      <c r="F37" s="1355">
        <v>-14355966</v>
      </c>
      <c r="G37" s="1355">
        <v>-4183940</v>
      </c>
      <c r="H37" s="1355">
        <v>-371080</v>
      </c>
      <c r="I37" s="1355">
        <v>-11838564</v>
      </c>
      <c r="J37" s="1355">
        <v>-441661</v>
      </c>
      <c r="K37" s="1206">
        <f>SUM(D37:J37)</f>
        <v>-48121154</v>
      </c>
      <c r="L37" s="1197" t="s">
        <v>114</v>
      </c>
      <c r="M37" s="1197"/>
      <c r="N37" s="1197"/>
      <c r="O37" s="1197"/>
      <c r="P37" s="1197"/>
      <c r="Q37" s="1197"/>
    </row>
    <row r="38" spans="1:17">
      <c r="D38" s="1207"/>
      <c r="E38" s="1205"/>
      <c r="F38" s="1207"/>
      <c r="G38" s="1207"/>
      <c r="H38" s="1207"/>
      <c r="I38" s="1207"/>
      <c r="J38" s="1207"/>
    </row>
    <row r="39" spans="1:17">
      <c r="A39" s="1186">
        <f>+A37+1</f>
        <v>10</v>
      </c>
      <c r="B39" s="1563" t="s">
        <v>851</v>
      </c>
      <c r="C39" s="1563"/>
      <c r="D39" s="1355">
        <v>519245.20599999651</v>
      </c>
      <c r="E39" s="1356"/>
      <c r="F39" s="1355">
        <v>1847313.7100000065</v>
      </c>
      <c r="G39" s="1355">
        <v>418274</v>
      </c>
      <c r="H39" s="1355">
        <v>-5.9999999939464033E-2</v>
      </c>
      <c r="I39" s="1355">
        <v>0</v>
      </c>
      <c r="J39" s="1355">
        <v>-375743.97</v>
      </c>
      <c r="K39" s="1206"/>
      <c r="L39" s="1197"/>
      <c r="M39" s="1197"/>
      <c r="N39" s="1197"/>
      <c r="O39" s="1197"/>
      <c r="P39" s="1197"/>
      <c r="Q39" s="1197"/>
    </row>
    <row r="40" spans="1:17">
      <c r="B40" s="1563"/>
      <c r="C40" s="1563"/>
      <c r="D40" s="1200"/>
      <c r="E40" s="1205"/>
      <c r="F40" s="1200"/>
      <c r="G40" s="1200"/>
      <c r="H40" s="1200"/>
      <c r="I40" s="1200"/>
      <c r="J40" s="1200"/>
      <c r="K40" s="1209"/>
      <c r="L40" s="1197"/>
      <c r="M40" s="1197"/>
      <c r="N40" s="1197"/>
      <c r="O40" s="1197"/>
      <c r="P40" s="1197"/>
      <c r="Q40" s="1197"/>
    </row>
    <row r="41" spans="1:17">
      <c r="A41" s="1186">
        <f>+A39+1</f>
        <v>11</v>
      </c>
      <c r="B41" s="1186" t="s">
        <v>852</v>
      </c>
      <c r="D41" s="1355"/>
      <c r="E41" s="1356"/>
      <c r="F41" s="1355"/>
      <c r="G41" s="1355"/>
      <c r="H41" s="1355"/>
      <c r="I41" s="1355"/>
      <c r="J41" s="1355"/>
      <c r="K41" s="1206">
        <f>SUM(D41:J41)</f>
        <v>0</v>
      </c>
      <c r="L41" s="1197"/>
      <c r="M41" s="1197"/>
      <c r="N41" s="1197"/>
      <c r="O41" s="1197"/>
      <c r="P41" s="1197"/>
      <c r="Q41" s="1197"/>
    </row>
    <row r="42" spans="1:17">
      <c r="D42" s="1210"/>
      <c r="E42" s="1211"/>
      <c r="F42" s="1210"/>
      <c r="G42" s="1210"/>
      <c r="H42" s="1210"/>
      <c r="I42" s="1212"/>
      <c r="J42" s="1212"/>
      <c r="K42" s="1213"/>
      <c r="L42" s="1197"/>
      <c r="M42" s="1197"/>
      <c r="N42" s="1197"/>
      <c r="O42" s="1197"/>
      <c r="P42" s="1197"/>
      <c r="Q42" s="1197"/>
    </row>
    <row r="43" spans="1:17">
      <c r="A43" s="1186">
        <f>+A41+1</f>
        <v>12</v>
      </c>
      <c r="B43" s="1186" t="str">
        <f>"Net Company Expense (Ln "&amp;A37&amp;" + Ln "&amp;A39&amp;" + Ln  "&amp;A41&amp;")"</f>
        <v>Net Company Expense (Ln 9 + Ln 10 + Ln  11)</v>
      </c>
      <c r="D43" s="1200">
        <f t="shared" ref="D43:J43" si="6">+D37+D41+D39</f>
        <v>-16410697.794000003</v>
      </c>
      <c r="E43" s="1214"/>
      <c r="F43" s="1200">
        <f t="shared" si="6"/>
        <v>-12508652.289999994</v>
      </c>
      <c r="G43" s="1200">
        <f t="shared" si="6"/>
        <v>-3765666</v>
      </c>
      <c r="H43" s="1200">
        <f t="shared" si="6"/>
        <v>-371080.05999999994</v>
      </c>
      <c r="I43" s="1200">
        <f t="shared" si="6"/>
        <v>-11838564</v>
      </c>
      <c r="J43" s="1200">
        <f t="shared" si="6"/>
        <v>-817404.97</v>
      </c>
      <c r="K43" s="1206">
        <f>SUM(D43:J43)</f>
        <v>-45712065.113999993</v>
      </c>
      <c r="L43" s="1197"/>
      <c r="M43" s="1197"/>
      <c r="N43" s="1197"/>
      <c r="O43" s="1197"/>
      <c r="P43" s="1197"/>
      <c r="Q43" s="1197"/>
    </row>
    <row r="44" spans="1:17">
      <c r="E44" s="1205"/>
      <c r="G44" s="1200">
        <f>+G40+G42</f>
        <v>0</v>
      </c>
      <c r="I44" s="1197"/>
      <c r="J44" s="1197"/>
      <c r="K44" s="1209"/>
      <c r="L44" s="1215"/>
      <c r="M44" s="1197"/>
      <c r="N44" s="1197"/>
      <c r="O44" s="1197"/>
      <c r="P44" s="1197"/>
      <c r="Q44" s="1197"/>
    </row>
    <row r="45" spans="1:17">
      <c r="A45" s="1186">
        <f>+A43+1</f>
        <v>13</v>
      </c>
      <c r="B45" s="1563" t="s">
        <v>853</v>
      </c>
      <c r="C45" s="1563"/>
      <c r="D45" s="1355">
        <v>-5243609.6734757051</v>
      </c>
      <c r="E45" s="1356"/>
      <c r="F45" s="1355">
        <v>-3720287.5013893265</v>
      </c>
      <c r="G45" s="1355">
        <v>-1263483.627696506</v>
      </c>
      <c r="H45" s="1355">
        <v>-165792.66435634438</v>
      </c>
      <c r="I45" s="1355">
        <v>-4133104.8705040319</v>
      </c>
      <c r="J45" s="1355">
        <v>-120131.34204958257</v>
      </c>
      <c r="K45" s="1206">
        <f>SUM(D45:J45)</f>
        <v>-14646409.679471498</v>
      </c>
      <c r="L45" s="1216" t="s">
        <v>114</v>
      </c>
      <c r="M45" s="1197"/>
      <c r="N45" s="1197"/>
      <c r="O45" s="1197"/>
      <c r="P45" s="1197"/>
      <c r="Q45" s="1197"/>
    </row>
    <row r="46" spans="1:17">
      <c r="B46" s="1563"/>
      <c r="C46" s="1563"/>
      <c r="D46" s="1217"/>
      <c r="E46" s="1205"/>
      <c r="I46" s="1197"/>
      <c r="J46" s="1197"/>
      <c r="K46" s="1209"/>
      <c r="L46" s="1197"/>
      <c r="M46" s="1197"/>
      <c r="N46" s="1197"/>
      <c r="O46" s="1197"/>
      <c r="P46" s="1197"/>
      <c r="Q46" s="1197"/>
    </row>
    <row r="47" spans="1:17" ht="13.5" thickBot="1">
      <c r="A47" s="1186">
        <f>+A45+1</f>
        <v>14</v>
      </c>
      <c r="B47" s="1186" t="str">
        <f>"Company PBOP Expense (Ln "&amp;A43&amp;" + Ln  "&amp;A45&amp;")"</f>
        <v>Company PBOP Expense (Ln 12 + Ln  13)</v>
      </c>
      <c r="D47" s="1218">
        <f>+D45+D41+D39+D37</f>
        <v>-21654307.467475709</v>
      </c>
      <c r="E47" s="1219"/>
      <c r="F47" s="1218">
        <f>+F45+F41+F39+F37</f>
        <v>-16228939.79138932</v>
      </c>
      <c r="G47" s="1218">
        <f>+G45+G41+G39+G37</f>
        <v>-5029149.6276965057</v>
      </c>
      <c r="H47" s="1218">
        <f>+H45+H41+H39+H37</f>
        <v>-536872.72435634432</v>
      </c>
      <c r="I47" s="1218">
        <f>+I45+I41+I39+I37</f>
        <v>-15971668.870504033</v>
      </c>
      <c r="J47" s="1218">
        <f>+J45+J41+J39+J37</f>
        <v>-937536.3120495826</v>
      </c>
      <c r="K47" s="1220">
        <f>SUM(D47:J47)</f>
        <v>-60358474.7934715</v>
      </c>
      <c r="L47" s="1197"/>
      <c r="M47" s="1197"/>
      <c r="N47" s="1197"/>
      <c r="O47" s="1197"/>
      <c r="P47" s="1197"/>
      <c r="Q47" s="1197"/>
    </row>
    <row r="48" spans="1:17" ht="13.5" thickTop="1">
      <c r="I48" s="1197"/>
      <c r="J48" s="1197"/>
      <c r="K48" s="1197"/>
      <c r="L48" s="1197"/>
      <c r="M48" s="1197"/>
      <c r="N48" s="1197"/>
      <c r="O48" s="1197"/>
      <c r="P48" s="1197"/>
      <c r="Q48" s="1197"/>
    </row>
    <row r="49" spans="1:19">
      <c r="A49" s="1564" t="s">
        <v>854</v>
      </c>
      <c r="B49" s="1564"/>
      <c r="C49" s="1564"/>
      <c r="D49" s="1564"/>
      <c r="E49" s="1564"/>
      <c r="F49" s="1564"/>
      <c r="G49" s="1564"/>
      <c r="H49" s="1564"/>
      <c r="I49" s="1564"/>
      <c r="J49" s="1564"/>
      <c r="K49" s="1564"/>
      <c r="L49" s="1221"/>
      <c r="M49" s="1197"/>
      <c r="N49" s="1197"/>
      <c r="O49" s="1197"/>
      <c r="P49" s="1197"/>
      <c r="Q49" s="1197"/>
    </row>
    <row r="50" spans="1:19">
      <c r="A50" s="1564"/>
      <c r="B50" s="1564"/>
      <c r="C50" s="1564"/>
      <c r="D50" s="1564"/>
      <c r="E50" s="1564"/>
      <c r="F50" s="1564"/>
      <c r="G50" s="1564"/>
      <c r="H50" s="1564"/>
      <c r="I50" s="1564"/>
      <c r="J50" s="1564"/>
      <c r="K50" s="1564"/>
      <c r="L50" s="1197"/>
      <c r="M50" s="1197"/>
      <c r="N50" s="1197"/>
      <c r="O50" s="1197"/>
      <c r="P50" s="1197"/>
      <c r="Q50" s="1197"/>
    </row>
    <row r="51" spans="1:19">
      <c r="A51" s="1564"/>
      <c r="B51" s="1564"/>
      <c r="C51" s="1564"/>
      <c r="D51" s="1564"/>
      <c r="E51" s="1564"/>
      <c r="F51" s="1564"/>
      <c r="G51" s="1564"/>
      <c r="H51" s="1564"/>
      <c r="I51" s="1564"/>
      <c r="J51" s="1564"/>
      <c r="K51" s="1564"/>
      <c r="L51" s="1197"/>
      <c r="M51" s="1197"/>
      <c r="N51" s="1197"/>
      <c r="O51" s="1197"/>
      <c r="P51" s="1197"/>
      <c r="Q51" s="1197"/>
    </row>
    <row r="52" spans="1:19">
      <c r="A52" s="1564"/>
      <c r="B52" s="1564"/>
      <c r="C52" s="1564"/>
      <c r="D52" s="1564"/>
      <c r="E52" s="1564"/>
      <c r="F52" s="1564"/>
      <c r="G52" s="1564"/>
      <c r="H52" s="1564"/>
      <c r="I52" s="1564"/>
      <c r="J52" s="1564"/>
      <c r="K52" s="1564"/>
      <c r="Q52" s="1197"/>
    </row>
    <row r="53" spans="1:19">
      <c r="A53" s="1564"/>
      <c r="B53" s="1564"/>
      <c r="C53" s="1564"/>
      <c r="D53" s="1564"/>
      <c r="E53" s="1564"/>
      <c r="F53" s="1564"/>
      <c r="G53" s="1564"/>
      <c r="H53" s="1564"/>
      <c r="I53" s="1564"/>
      <c r="J53" s="1564"/>
      <c r="K53" s="1564"/>
      <c r="Q53" s="1197"/>
    </row>
    <row r="54" spans="1:19">
      <c r="A54" s="1564"/>
      <c r="B54" s="1564"/>
      <c r="C54" s="1564"/>
      <c r="D54" s="1564"/>
      <c r="E54" s="1564"/>
      <c r="F54" s="1564"/>
      <c r="G54" s="1564"/>
      <c r="H54" s="1564"/>
      <c r="I54" s="1564"/>
      <c r="J54" s="1564"/>
      <c r="K54" s="1564"/>
      <c r="Q54" s="1197"/>
    </row>
    <row r="55" spans="1:19">
      <c r="A55" s="1564"/>
      <c r="B55" s="1564"/>
      <c r="C55" s="1564"/>
      <c r="D55" s="1564"/>
      <c r="E55" s="1564"/>
      <c r="F55" s="1564"/>
      <c r="G55" s="1564"/>
      <c r="H55" s="1564"/>
      <c r="I55" s="1564"/>
      <c r="J55" s="1564"/>
      <c r="K55" s="1564"/>
      <c r="Q55" s="1197"/>
    </row>
    <row r="56" spans="1:19">
      <c r="A56" s="1564"/>
      <c r="B56" s="1564"/>
      <c r="C56" s="1564"/>
      <c r="D56" s="1564"/>
      <c r="E56" s="1564"/>
      <c r="F56" s="1564"/>
      <c r="G56" s="1564"/>
      <c r="H56" s="1564"/>
      <c r="I56" s="1564"/>
      <c r="J56" s="1564"/>
      <c r="K56" s="1564"/>
      <c r="Q56" s="1197"/>
    </row>
    <row r="57" spans="1:19">
      <c r="A57" s="1564"/>
      <c r="B57" s="1564"/>
      <c r="C57" s="1564"/>
      <c r="D57" s="1564"/>
      <c r="E57" s="1564"/>
      <c r="F57" s="1564"/>
      <c r="G57" s="1564"/>
      <c r="H57" s="1564"/>
      <c r="I57" s="1564"/>
      <c r="J57" s="1564"/>
      <c r="K57" s="1564"/>
      <c r="Q57" s="1197"/>
    </row>
    <row r="58" spans="1:19">
      <c r="Q58" s="1222"/>
    </row>
    <row r="59" spans="1:19" ht="18.75" customHeight="1"/>
    <row r="60" spans="1:19" ht="12.75" customHeight="1">
      <c r="Q60" s="1223"/>
      <c r="R60" s="1223"/>
      <c r="S60" s="1223"/>
    </row>
    <row r="61" spans="1:19" ht="68.25" customHeight="1"/>
    <row r="72" ht="39.75" customHeight="1"/>
    <row r="81" spans="17:22" ht="15.75" customHeight="1">
      <c r="Q81" s="1224"/>
      <c r="R81" s="1224"/>
      <c r="S81" s="1224"/>
      <c r="T81" s="1224"/>
      <c r="U81" s="1224"/>
      <c r="V81" s="1207"/>
    </row>
    <row r="82" spans="17:22" ht="6" customHeight="1">
      <c r="Q82" s="1224"/>
      <c r="R82" s="1224"/>
      <c r="S82" s="1224"/>
      <c r="T82" s="1224"/>
      <c r="U82" s="1224"/>
      <c r="V82" s="1207"/>
    </row>
    <row r="83" spans="17:22">
      <c r="Q83" s="1224"/>
      <c r="R83" s="1224"/>
      <c r="S83" s="1224"/>
      <c r="T83" s="1224"/>
      <c r="U83" s="1224"/>
      <c r="V83" s="1207"/>
    </row>
    <row r="84" spans="17:22" ht="6" customHeight="1">
      <c r="Q84" s="1224"/>
      <c r="R84" s="1224"/>
      <c r="S84" s="1224"/>
      <c r="T84" s="1224"/>
      <c r="U84" s="1224"/>
      <c r="V84" s="1207"/>
    </row>
    <row r="85" spans="17:22">
      <c r="Q85" s="1224"/>
      <c r="R85" s="1224"/>
      <c r="S85" s="1224"/>
      <c r="T85" s="1224"/>
      <c r="U85" s="1224"/>
      <c r="V85" s="1207"/>
    </row>
    <row r="86" spans="17:22" ht="12.75" customHeight="1">
      <c r="Q86" s="1224"/>
      <c r="R86" s="1224"/>
      <c r="S86" s="1224"/>
      <c r="T86" s="1224"/>
      <c r="U86" s="1224"/>
      <c r="V86" s="1207"/>
    </row>
    <row r="87" spans="17:22" ht="6.75" customHeight="1">
      <c r="Q87" s="1224"/>
      <c r="R87" s="1224"/>
      <c r="S87" s="1224"/>
      <c r="T87" s="1224"/>
      <c r="U87" s="1224"/>
      <c r="V87" s="1207"/>
    </row>
    <row r="88" spans="17:22">
      <c r="Q88" s="1224"/>
      <c r="R88" s="1224"/>
      <c r="S88" s="1224"/>
      <c r="T88" s="1224"/>
      <c r="U88" s="1224"/>
      <c r="V88" s="1207"/>
    </row>
    <row r="89" spans="17:22">
      <c r="Q89" s="1224"/>
      <c r="R89" s="1224"/>
      <c r="S89" s="1224"/>
      <c r="T89" s="1224"/>
      <c r="U89" s="1207"/>
    </row>
    <row r="90" spans="17:22">
      <c r="Q90" s="1224"/>
      <c r="R90" s="1224"/>
      <c r="S90" s="1224"/>
      <c r="T90" s="1224"/>
      <c r="U90" s="1207"/>
    </row>
    <row r="91" spans="17:22">
      <c r="Q91" s="1224"/>
      <c r="R91" s="1224"/>
      <c r="S91" s="1224"/>
      <c r="T91" s="1224"/>
      <c r="U91" s="1207"/>
    </row>
    <row r="92" spans="17:22">
      <c r="Q92" s="1222"/>
      <c r="R92" s="1222"/>
    </row>
    <row r="93" spans="17:22">
      <c r="Q93" s="1222"/>
    </row>
    <row r="95" spans="17:22" ht="12.75" customHeight="1"/>
    <row r="96" spans="17:22"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spans="13:13">
      <c r="M182" s="1207"/>
    </row>
    <row r="183" spans="13:13">
      <c r="M183" s="1225"/>
    </row>
    <row r="184" spans="13:13">
      <c r="M184" s="1208"/>
    </row>
    <row r="185" spans="13:13" ht="12.75" customHeight="1">
      <c r="M185" s="1208"/>
    </row>
    <row r="186" spans="13:13">
      <c r="M186" s="1208"/>
    </row>
    <row r="187" spans="13:13">
      <c r="M187" s="1208"/>
    </row>
    <row r="188" spans="13:13">
      <c r="M188" s="1226"/>
    </row>
    <row r="189" spans="13:13">
      <c r="M189" s="1226"/>
    </row>
    <row r="190" spans="13:13">
      <c r="M190" s="1207"/>
    </row>
    <row r="191" spans="13:13">
      <c r="M191" s="1207"/>
    </row>
    <row r="192" spans="13:13">
      <c r="M192" s="1207"/>
    </row>
    <row r="193" spans="13:13">
      <c r="M193" s="1207"/>
    </row>
    <row r="194" spans="13:13">
      <c r="M194" s="1207"/>
    </row>
    <row r="195" spans="13:13">
      <c r="M195" s="1207"/>
    </row>
    <row r="196" spans="13:13">
      <c r="M196" s="1227"/>
    </row>
    <row r="197" spans="13:13">
      <c r="M197" s="1228"/>
    </row>
    <row r="199" spans="13:13">
      <c r="M199" s="1207"/>
    </row>
    <row r="204" spans="13:13">
      <c r="M204" s="1207"/>
    </row>
    <row r="205" spans="13:13">
      <c r="M205" s="1225"/>
    </row>
    <row r="206" spans="13:13">
      <c r="M206" s="1208"/>
    </row>
    <row r="207" spans="13:13" ht="12.75" customHeight="1">
      <c r="M207" s="1208"/>
    </row>
    <row r="208" spans="13:13">
      <c r="M208" s="1208"/>
    </row>
    <row r="209" spans="13:13">
      <c r="M209" s="1208"/>
    </row>
    <row r="210" spans="13:13">
      <c r="M210" s="1226"/>
    </row>
    <row r="211" spans="13:13">
      <c r="M211" s="1226"/>
    </row>
    <row r="212" spans="13:13">
      <c r="M212" s="1207"/>
    </row>
    <row r="213" spans="13:13">
      <c r="M213" s="1207"/>
    </row>
    <row r="214" spans="13:13">
      <c r="M214" s="1207"/>
    </row>
    <row r="215" spans="13:13">
      <c r="M215" s="1207"/>
    </row>
    <row r="216" spans="13:13">
      <c r="M216" s="1207"/>
    </row>
    <row r="217" spans="13:13">
      <c r="M217" s="1207"/>
    </row>
    <row r="218" spans="13:13">
      <c r="M218" s="1227"/>
    </row>
    <row r="219" spans="13:13">
      <c r="M219" s="1228"/>
    </row>
    <row r="221" spans="13:13">
      <c r="M221" s="1207"/>
    </row>
    <row r="226" spans="13:13">
      <c r="M226" s="1207"/>
    </row>
    <row r="227" spans="13:13">
      <c r="M227" s="1225"/>
    </row>
    <row r="228" spans="13:13">
      <c r="M228" s="1208"/>
    </row>
    <row r="229" spans="13:13" ht="12.75" customHeight="1">
      <c r="M229" s="1208"/>
    </row>
    <row r="230" spans="13:13">
      <c r="M230" s="1208"/>
    </row>
    <row r="231" spans="13:13">
      <c r="M231" s="1208"/>
    </row>
    <row r="232" spans="13:13">
      <c r="M232" s="1226"/>
    </row>
    <row r="233" spans="13:13">
      <c r="M233" s="1226"/>
    </row>
    <row r="234" spans="13:13">
      <c r="M234" s="1207"/>
    </row>
    <row r="235" spans="13:13">
      <c r="M235" s="1207"/>
    </row>
    <row r="236" spans="13:13">
      <c r="M236" s="1207"/>
    </row>
    <row r="237" spans="13:13">
      <c r="M237" s="1207"/>
    </row>
    <row r="238" spans="13:13">
      <c r="M238" s="1207"/>
    </row>
    <row r="239" spans="13:13">
      <c r="M239" s="1207"/>
    </row>
    <row r="240" spans="13:13">
      <c r="M240" s="1227"/>
    </row>
    <row r="241" spans="13:13">
      <c r="M241" s="1228"/>
    </row>
    <row r="243" spans="13:13">
      <c r="M243" s="1207"/>
    </row>
    <row r="248" spans="13:13">
      <c r="M248" s="1207"/>
    </row>
    <row r="249" spans="13:13">
      <c r="M249" s="1225"/>
    </row>
    <row r="250" spans="13:13">
      <c r="M250" s="1208"/>
    </row>
    <row r="251" spans="13:13" ht="12.75" customHeight="1">
      <c r="M251" s="1208"/>
    </row>
    <row r="252" spans="13:13">
      <c r="M252" s="1208"/>
    </row>
    <row r="253" spans="13:13">
      <c r="M253" s="1208"/>
    </row>
    <row r="254" spans="13:13">
      <c r="M254" s="1226"/>
    </row>
    <row r="255" spans="13:13">
      <c r="M255" s="1226"/>
    </row>
    <row r="256" spans="13:13">
      <c r="M256" s="1207"/>
    </row>
    <row r="257" spans="13:13">
      <c r="M257" s="1207"/>
    </row>
    <row r="258" spans="13:13">
      <c r="M258" s="1207"/>
    </row>
    <row r="259" spans="13:13">
      <c r="M259" s="1207"/>
    </row>
    <row r="260" spans="13:13">
      <c r="M260" s="1207"/>
    </row>
    <row r="261" spans="13:13">
      <c r="M261" s="1207"/>
    </row>
    <row r="262" spans="13:13">
      <c r="M262" s="1227"/>
    </row>
    <row r="263" spans="13:13">
      <c r="M263" s="1228"/>
    </row>
    <row r="265" spans="13:13">
      <c r="M265" s="1207"/>
    </row>
    <row r="270" spans="13:13">
      <c r="M270" s="1207"/>
    </row>
    <row r="271" spans="13:13">
      <c r="M271" s="1225"/>
    </row>
    <row r="272" spans="13:13" ht="12.75" customHeight="1">
      <c r="M272" s="1208"/>
    </row>
    <row r="273" spans="13:13" ht="12.75" customHeight="1">
      <c r="M273" s="1208"/>
    </row>
    <row r="274" spans="13:13">
      <c r="M274" s="1208"/>
    </row>
    <row r="275" spans="13:13" ht="12.75" customHeight="1">
      <c r="M275" s="1208"/>
    </row>
    <row r="276" spans="13:13">
      <c r="M276" s="1226"/>
    </row>
    <row r="277" spans="13:13">
      <c r="M277" s="1226"/>
    </row>
    <row r="278" spans="13:13">
      <c r="M278" s="1207"/>
    </row>
    <row r="279" spans="13:13">
      <c r="M279" s="1207"/>
    </row>
    <row r="280" spans="13:13">
      <c r="M280" s="1207"/>
    </row>
    <row r="281" spans="13:13">
      <c r="M281" s="1207"/>
    </row>
    <row r="282" spans="13:13">
      <c r="M282" s="1207"/>
    </row>
    <row r="283" spans="13:13">
      <c r="M283" s="1207"/>
    </row>
    <row r="284" spans="13:13">
      <c r="M284" s="1227"/>
    </row>
    <row r="285" spans="13:13">
      <c r="M285" s="1228"/>
    </row>
    <row r="287" spans="13:13">
      <c r="M287" s="1207"/>
    </row>
  </sheetData>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56"/>
  <sheetViews>
    <sheetView defaultGridColor="0" topLeftCell="A6" colorId="22" zoomScale="70" zoomScaleNormal="70" workbookViewId="0">
      <selection activeCell="A19" sqref="A19:S51"/>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93" t="s">
        <v>114</v>
      </c>
      <c r="B1" s="777"/>
      <c r="C1" s="777"/>
      <c r="D1" s="777"/>
      <c r="E1" s="777"/>
      <c r="F1" s="777"/>
      <c r="G1" s="274"/>
      <c r="H1" s="777"/>
      <c r="I1" s="777"/>
      <c r="J1" s="777"/>
      <c r="K1" s="777"/>
      <c r="L1" s="777"/>
      <c r="M1" s="777"/>
      <c r="N1" s="777"/>
      <c r="O1" s="777"/>
      <c r="P1" s="777"/>
      <c r="Q1" s="777"/>
      <c r="R1" s="777"/>
      <c r="S1" s="777"/>
    </row>
    <row r="2" spans="1:19" ht="15.75">
      <c r="A2" s="893" t="s">
        <v>114</v>
      </c>
      <c r="B2" s="777"/>
      <c r="C2" s="777"/>
      <c r="D2" s="777"/>
      <c r="E2" s="777"/>
      <c r="F2" s="777"/>
      <c r="G2" s="274"/>
      <c r="H2" s="777"/>
      <c r="I2" s="777"/>
      <c r="J2" s="777"/>
      <c r="K2" s="777"/>
      <c r="L2" s="777"/>
      <c r="M2" s="777"/>
      <c r="N2" s="777"/>
      <c r="O2" s="777"/>
      <c r="P2" s="777"/>
      <c r="Q2" s="777"/>
      <c r="R2" s="777"/>
      <c r="S2" s="777"/>
    </row>
    <row r="3" spans="1:19" ht="19.5">
      <c r="A3" s="1573" t="s">
        <v>391</v>
      </c>
      <c r="B3" s="1573"/>
      <c r="C3" s="1573"/>
      <c r="D3" s="1573"/>
      <c r="E3" s="1573"/>
      <c r="F3" s="1573"/>
      <c r="G3" s="1573"/>
      <c r="H3" s="1573"/>
      <c r="I3" s="1573"/>
      <c r="J3" s="1573"/>
      <c r="K3" s="1573"/>
      <c r="L3" s="1573"/>
      <c r="M3" s="1573"/>
      <c r="N3" s="1573"/>
      <c r="O3" s="1573"/>
      <c r="P3" s="776"/>
      <c r="Q3" s="776"/>
      <c r="R3" s="776"/>
      <c r="S3" s="776"/>
    </row>
    <row r="4" spans="1:19" ht="19.5">
      <c r="A4" s="1573" t="s">
        <v>392</v>
      </c>
      <c r="B4" s="1573"/>
      <c r="C4" s="1573"/>
      <c r="D4" s="1573"/>
      <c r="E4" s="1573"/>
      <c r="F4" s="1573"/>
      <c r="G4" s="1573"/>
      <c r="H4" s="1573"/>
      <c r="I4" s="1573"/>
      <c r="J4" s="1573"/>
      <c r="K4" s="1573"/>
      <c r="L4" s="1573"/>
      <c r="M4" s="1573"/>
      <c r="N4" s="1573"/>
      <c r="O4" s="1573"/>
      <c r="P4" s="776"/>
      <c r="Q4" s="776"/>
      <c r="R4" s="776"/>
      <c r="S4" s="776"/>
    </row>
    <row r="5" spans="1:19" ht="19.5">
      <c r="A5" s="1573" t="s">
        <v>393</v>
      </c>
      <c r="B5" s="1573"/>
      <c r="C5" s="1573"/>
      <c r="D5" s="1573"/>
      <c r="E5" s="1573"/>
      <c r="F5" s="1573"/>
      <c r="G5" s="1573"/>
      <c r="H5" s="1573"/>
      <c r="I5" s="1573"/>
      <c r="J5" s="1573"/>
      <c r="K5" s="1573"/>
      <c r="L5" s="1573"/>
      <c r="M5" s="1573"/>
      <c r="N5" s="1573"/>
      <c r="O5" s="1573"/>
      <c r="P5" s="776"/>
      <c r="Q5" s="776"/>
      <c r="R5" s="776"/>
      <c r="S5" s="776"/>
    </row>
    <row r="6" spans="1:19" ht="19.5">
      <c r="A6" s="1573" t="s">
        <v>394</v>
      </c>
      <c r="B6" s="1573"/>
      <c r="C6" s="1573"/>
      <c r="D6" s="1573"/>
      <c r="E6" s="1573"/>
      <c r="F6" s="1573"/>
      <c r="G6" s="1573"/>
      <c r="H6" s="1573"/>
      <c r="I6" s="1573"/>
      <c r="J6" s="1573"/>
      <c r="K6" s="1573"/>
      <c r="L6" s="1573"/>
      <c r="M6" s="1573"/>
      <c r="N6" s="1573"/>
      <c r="O6" s="1573"/>
      <c r="P6" s="776"/>
      <c r="Q6" s="776"/>
      <c r="R6" s="776"/>
      <c r="S6" s="776"/>
    </row>
    <row r="7" spans="1:19" ht="19.5">
      <c r="A7" s="1573" t="s">
        <v>1427</v>
      </c>
      <c r="B7" s="1573"/>
      <c r="C7" s="1573"/>
      <c r="D7" s="1573"/>
      <c r="E7" s="1573"/>
      <c r="F7" s="1573"/>
      <c r="G7" s="1573"/>
      <c r="H7" s="1573"/>
      <c r="I7" s="1573"/>
      <c r="J7" s="1573"/>
      <c r="K7" s="1573"/>
      <c r="L7" s="1573"/>
      <c r="M7" s="1573"/>
      <c r="N7" s="1573"/>
      <c r="O7" s="1573"/>
      <c r="P7" s="776"/>
      <c r="Q7" s="776"/>
      <c r="R7" s="776"/>
      <c r="S7" s="776"/>
    </row>
    <row r="8" spans="1:19" ht="19.5">
      <c r="A8" s="1573" t="s">
        <v>395</v>
      </c>
      <c r="B8" s="1573"/>
      <c r="C8" s="1573"/>
      <c r="D8" s="1573"/>
      <c r="E8" s="1573"/>
      <c r="F8" s="1573"/>
      <c r="G8" s="1573"/>
      <c r="H8" s="1573"/>
      <c r="I8" s="1573"/>
      <c r="J8" s="1573"/>
      <c r="K8" s="1573"/>
      <c r="L8" s="1573"/>
      <c r="M8" s="1573"/>
      <c r="N8" s="1573"/>
      <c r="O8" s="1573"/>
      <c r="P8" s="776"/>
      <c r="Q8" s="776"/>
      <c r="R8" s="776"/>
      <c r="S8" s="776"/>
    </row>
    <row r="9" spans="1:19" ht="19.5">
      <c r="A9" s="1574" t="s">
        <v>869</v>
      </c>
      <c r="B9" s="1573"/>
      <c r="C9" s="1573"/>
      <c r="D9" s="1573"/>
      <c r="E9" s="1573"/>
      <c r="F9" s="1573"/>
      <c r="G9" s="1573"/>
      <c r="H9" s="1573"/>
      <c r="I9" s="1573"/>
      <c r="J9" s="1573"/>
      <c r="K9" s="1573"/>
      <c r="L9" s="1573"/>
      <c r="M9" s="1573"/>
      <c r="N9" s="1573"/>
      <c r="O9" s="1573"/>
      <c r="P9" s="776"/>
      <c r="Q9" s="776"/>
      <c r="R9" s="776"/>
      <c r="S9" s="776"/>
    </row>
    <row r="10" spans="1:19" ht="19.5">
      <c r="A10" s="1575"/>
      <c r="B10" s="1575"/>
      <c r="C10" s="1575"/>
      <c r="D10" s="1575"/>
      <c r="E10" s="1575"/>
      <c r="F10" s="1575"/>
      <c r="G10" s="1575"/>
      <c r="H10" s="1575"/>
      <c r="I10" s="1575"/>
      <c r="J10" s="1575"/>
      <c r="K10" s="1575"/>
      <c r="L10" s="1575"/>
      <c r="M10" s="1575"/>
      <c r="N10" s="1575"/>
      <c r="O10" s="1575"/>
      <c r="P10" s="778"/>
      <c r="Q10" s="778"/>
      <c r="R10" s="778"/>
      <c r="S10" s="778"/>
    </row>
    <row r="11" spans="1:19" ht="15">
      <c r="A11" s="777"/>
      <c r="B11" s="777"/>
      <c r="C11" s="777"/>
      <c r="D11" s="777"/>
      <c r="E11" s="777"/>
      <c r="F11" s="777"/>
      <c r="G11" s="274"/>
      <c r="H11" s="777"/>
      <c r="I11" s="777"/>
      <c r="J11" s="777"/>
      <c r="K11" s="777"/>
      <c r="L11" s="777"/>
      <c r="M11" s="777"/>
      <c r="N11" s="777"/>
      <c r="O11" s="777"/>
      <c r="P11" s="777"/>
      <c r="Q11" s="777"/>
      <c r="R11" s="777"/>
      <c r="S11" s="777"/>
    </row>
    <row r="12" spans="1:19" ht="16.5" thickBot="1">
      <c r="A12" s="779"/>
      <c r="B12" s="779"/>
      <c r="C12" s="1576" t="s">
        <v>603</v>
      </c>
      <c r="D12" s="1576"/>
      <c r="E12" s="1576"/>
      <c r="F12" s="779"/>
      <c r="G12" s="1576" t="s">
        <v>604</v>
      </c>
      <c r="H12" s="1576"/>
      <c r="I12" s="1576"/>
      <c r="J12" s="779"/>
      <c r="K12" s="1576" t="s">
        <v>396</v>
      </c>
      <c r="L12" s="1576"/>
      <c r="M12" s="1576"/>
      <c r="N12" s="779"/>
      <c r="O12" s="1576" t="s">
        <v>605</v>
      </c>
      <c r="P12" s="1576"/>
      <c r="Q12" s="1576"/>
      <c r="R12" s="779"/>
      <c r="S12" s="1358" t="s">
        <v>397</v>
      </c>
    </row>
    <row r="13" spans="1:19" ht="15">
      <c r="A13" s="779"/>
      <c r="B13" s="779"/>
      <c r="C13" s="780" t="s">
        <v>121</v>
      </c>
      <c r="D13" s="781"/>
      <c r="E13" s="781"/>
      <c r="F13" s="781"/>
      <c r="G13" s="782" t="s">
        <v>122</v>
      </c>
      <c r="H13" s="783"/>
      <c r="I13" s="783"/>
      <c r="J13" s="783"/>
      <c r="K13" s="784" t="s">
        <v>123</v>
      </c>
      <c r="L13" s="783"/>
      <c r="M13" s="783"/>
      <c r="N13" s="783"/>
      <c r="O13" s="785" t="s">
        <v>124</v>
      </c>
      <c r="P13" s="783"/>
      <c r="Q13" s="783"/>
      <c r="R13" s="783"/>
      <c r="S13" s="783"/>
    </row>
    <row r="14" spans="1:19" ht="15">
      <c r="A14" s="779"/>
      <c r="B14" s="779"/>
      <c r="C14" s="780" t="s">
        <v>114</v>
      </c>
      <c r="D14" s="781"/>
      <c r="E14" s="780" t="s">
        <v>398</v>
      </c>
      <c r="F14" s="781"/>
      <c r="G14" s="782" t="s">
        <v>606</v>
      </c>
      <c r="H14" s="781"/>
      <c r="I14" s="780" t="s">
        <v>398</v>
      </c>
      <c r="J14" s="781"/>
      <c r="K14" s="777"/>
      <c r="L14" s="781"/>
      <c r="M14" s="780" t="s">
        <v>398</v>
      </c>
      <c r="N14" s="781"/>
      <c r="O14" s="777"/>
      <c r="P14" s="781"/>
      <c r="Q14" s="780" t="s">
        <v>398</v>
      </c>
      <c r="R14" s="781"/>
      <c r="S14" s="780" t="s">
        <v>398</v>
      </c>
    </row>
    <row r="15" spans="1:19" ht="15">
      <c r="A15" s="779"/>
      <c r="B15" s="780" t="s">
        <v>399</v>
      </c>
      <c r="C15" s="780" t="s">
        <v>607</v>
      </c>
      <c r="D15" s="780" t="s">
        <v>400</v>
      </c>
      <c r="E15" s="780" t="s">
        <v>401</v>
      </c>
      <c r="F15" s="781"/>
      <c r="G15" s="782" t="s">
        <v>402</v>
      </c>
      <c r="H15" s="780" t="s">
        <v>400</v>
      </c>
      <c r="I15" s="780" t="s">
        <v>401</v>
      </c>
      <c r="J15" s="781"/>
      <c r="K15" s="780" t="s">
        <v>80</v>
      </c>
      <c r="L15" s="780" t="s">
        <v>400</v>
      </c>
      <c r="M15" s="780" t="s">
        <v>401</v>
      </c>
      <c r="N15" s="781"/>
      <c r="O15" s="780" t="s">
        <v>80</v>
      </c>
      <c r="P15" s="780" t="s">
        <v>400</v>
      </c>
      <c r="Q15" s="780" t="s">
        <v>401</v>
      </c>
      <c r="R15" s="781"/>
      <c r="S15" s="780" t="s">
        <v>401</v>
      </c>
    </row>
    <row r="16" spans="1:19" ht="15">
      <c r="A16" s="780"/>
      <c r="B16" s="780" t="s">
        <v>403</v>
      </c>
      <c r="C16" s="780" t="s">
        <v>404</v>
      </c>
      <c r="D16" s="780" t="s">
        <v>608</v>
      </c>
      <c r="E16" s="780" t="s">
        <v>405</v>
      </c>
      <c r="F16" s="781"/>
      <c r="G16" s="782" t="s">
        <v>404</v>
      </c>
      <c r="H16" s="780" t="s">
        <v>608</v>
      </c>
      <c r="I16" s="780" t="s">
        <v>405</v>
      </c>
      <c r="J16" s="781"/>
      <c r="K16" s="780" t="s">
        <v>404</v>
      </c>
      <c r="L16" s="780" t="s">
        <v>608</v>
      </c>
      <c r="M16" s="780" t="s">
        <v>405</v>
      </c>
      <c r="N16" s="781"/>
      <c r="O16" s="780" t="s">
        <v>404</v>
      </c>
      <c r="P16" s="780" t="s">
        <v>608</v>
      </c>
      <c r="Q16" s="780" t="s">
        <v>405</v>
      </c>
      <c r="R16" s="781"/>
      <c r="S16" s="780" t="s">
        <v>405</v>
      </c>
    </row>
    <row r="17" spans="1:19" ht="15">
      <c r="A17" s="777"/>
      <c r="B17" s="777"/>
      <c r="C17" s="777"/>
      <c r="D17" s="777"/>
      <c r="E17" s="777"/>
      <c r="F17" s="777"/>
      <c r="G17" s="274"/>
      <c r="H17" s="777"/>
      <c r="I17" s="777"/>
      <c r="J17" s="777"/>
      <c r="K17" s="777"/>
      <c r="L17" s="777"/>
      <c r="M17" s="777"/>
      <c r="N17" s="777"/>
      <c r="O17" s="777"/>
      <c r="P17" s="777"/>
      <c r="Q17" s="777"/>
      <c r="R17" s="777"/>
      <c r="S17" s="777"/>
    </row>
    <row r="18" spans="1:19" ht="15.75" thickBot="1">
      <c r="A18" s="786"/>
      <c r="B18" s="779"/>
      <c r="C18" s="268"/>
      <c r="D18" s="779"/>
      <c r="E18" s="779"/>
      <c r="F18" s="779"/>
      <c r="G18" s="268"/>
      <c r="H18" s="779"/>
      <c r="I18" s="779"/>
      <c r="J18" s="779"/>
      <c r="K18" s="310"/>
      <c r="L18" s="779"/>
      <c r="M18" s="779"/>
      <c r="N18" s="779"/>
      <c r="O18" s="310"/>
      <c r="P18" s="779"/>
      <c r="Q18" s="779"/>
      <c r="R18" s="779"/>
      <c r="S18" s="779"/>
    </row>
    <row r="19" spans="1:19" ht="15">
      <c r="A19" s="787" t="s">
        <v>406</v>
      </c>
      <c r="B19" s="788"/>
      <c r="C19" s="269"/>
      <c r="D19" s="270"/>
      <c r="E19" s="271"/>
      <c r="F19" s="788"/>
      <c r="G19" s="269"/>
      <c r="H19" s="272"/>
      <c r="I19" s="271"/>
      <c r="J19" s="788"/>
      <c r="K19" s="788"/>
      <c r="L19" s="272"/>
      <c r="M19" s="271"/>
      <c r="N19" s="788"/>
      <c r="O19" s="788"/>
      <c r="P19" s="270"/>
      <c r="Q19" s="271"/>
      <c r="R19" s="788"/>
      <c r="S19" s="271"/>
    </row>
    <row r="20" spans="1:19" ht="15">
      <c r="A20" s="789" t="s">
        <v>609</v>
      </c>
      <c r="B20" s="273">
        <v>350.1</v>
      </c>
      <c r="C20" s="268">
        <v>6.5839999999999996E-3</v>
      </c>
      <c r="D20" s="311">
        <v>1</v>
      </c>
      <c r="E20" s="268">
        <f>ROUND((C20*D20),4)</f>
        <v>6.6E-3</v>
      </c>
      <c r="F20" s="790"/>
      <c r="G20" s="268"/>
      <c r="H20" s="312"/>
      <c r="I20" s="274"/>
      <c r="J20" s="790"/>
      <c r="K20" s="268"/>
      <c r="L20" s="312"/>
      <c r="M20" s="313"/>
      <c r="N20" s="790"/>
      <c r="O20" s="268"/>
      <c r="P20" s="311"/>
      <c r="Q20" s="313"/>
      <c r="R20" s="790"/>
      <c r="S20" s="268">
        <f>ROUND((((E20+I20)+M20)+Q20),4)</f>
        <v>6.6E-3</v>
      </c>
    </row>
    <row r="21" spans="1:19" ht="15">
      <c r="A21" s="789" t="s">
        <v>610</v>
      </c>
      <c r="B21" s="273">
        <v>351</v>
      </c>
      <c r="C21" s="268"/>
      <c r="D21" s="311"/>
      <c r="E21" s="268"/>
      <c r="F21" s="790"/>
      <c r="G21" s="268">
        <v>0.14219999999999999</v>
      </c>
      <c r="H21" s="312">
        <v>1</v>
      </c>
      <c r="I21" s="268">
        <f>ROUND((G21*H21),4)</f>
        <v>0.14219999999999999</v>
      </c>
      <c r="J21" s="790"/>
      <c r="K21" s="268"/>
      <c r="L21" s="312"/>
      <c r="M21" s="313"/>
      <c r="N21" s="790"/>
      <c r="O21" s="268"/>
      <c r="P21" s="311"/>
      <c r="Q21" s="313"/>
      <c r="R21" s="790"/>
      <c r="S21" s="268">
        <f>I21</f>
        <v>0.14219999999999999</v>
      </c>
    </row>
    <row r="22" spans="1:19" ht="15">
      <c r="A22" s="791" t="s">
        <v>407</v>
      </c>
      <c r="B22" s="273">
        <v>352</v>
      </c>
      <c r="C22" s="268">
        <v>1.9900000000000001E-2</v>
      </c>
      <c r="D22" s="275">
        <v>0.49482100000000001</v>
      </c>
      <c r="E22" s="268">
        <f t="shared" ref="E22:E28" si="0">ROUND((C22*D22),4)</f>
        <v>9.7999999999999997E-3</v>
      </c>
      <c r="F22" s="790"/>
      <c r="G22" s="268">
        <v>1.6199999999999999E-2</v>
      </c>
      <c r="H22" s="275">
        <v>0.41108299999999998</v>
      </c>
      <c r="I22" s="268">
        <f t="shared" ref="I22:I28" si="1">ROUND((G22*H22),4)</f>
        <v>6.7000000000000002E-3</v>
      </c>
      <c r="J22" s="790"/>
      <c r="K22" s="268">
        <v>2.1899999999999999E-2</v>
      </c>
      <c r="L22" s="275">
        <v>3.6533000000000003E-2</v>
      </c>
      <c r="M22" s="268">
        <f t="shared" ref="M22:M28" si="2">ROUND((K22*L22),4)</f>
        <v>8.0000000000000004E-4</v>
      </c>
      <c r="N22" s="790"/>
      <c r="O22" s="268">
        <v>2.1899999999999999E-2</v>
      </c>
      <c r="P22" s="275">
        <v>5.7563000000000003E-2</v>
      </c>
      <c r="Q22" s="268">
        <f t="shared" ref="Q22:Q28" si="3">ROUND((O22*P22),4)</f>
        <v>1.2999999999999999E-3</v>
      </c>
      <c r="R22" s="790"/>
      <c r="S22" s="268">
        <f t="shared" ref="S22:S28" si="4">ROUND((((E22+I22)+M22)+Q22),4)</f>
        <v>1.8599999999999998E-2</v>
      </c>
    </row>
    <row r="23" spans="1:19" ht="15">
      <c r="A23" s="791" t="s">
        <v>408</v>
      </c>
      <c r="B23" s="273">
        <v>353</v>
      </c>
      <c r="C23" s="268">
        <v>2.7E-2</v>
      </c>
      <c r="D23" s="275">
        <v>0.49482100000000001</v>
      </c>
      <c r="E23" s="268">
        <f t="shared" si="0"/>
        <v>1.34E-2</v>
      </c>
      <c r="F23" s="790"/>
      <c r="G23" s="268">
        <v>2.3699999999999999E-2</v>
      </c>
      <c r="H23" s="275">
        <v>0.41108299999999998</v>
      </c>
      <c r="I23" s="268">
        <f t="shared" si="1"/>
        <v>9.7000000000000003E-3</v>
      </c>
      <c r="J23" s="790"/>
      <c r="K23" s="268">
        <v>2.1899999999999999E-2</v>
      </c>
      <c r="L23" s="275">
        <v>3.6533000000000003E-2</v>
      </c>
      <c r="M23" s="268">
        <f t="shared" si="2"/>
        <v>8.0000000000000004E-4</v>
      </c>
      <c r="N23" s="790"/>
      <c r="O23" s="268">
        <v>2.1899999999999999E-2</v>
      </c>
      <c r="P23" s="275">
        <v>5.7563000000000003E-2</v>
      </c>
      <c r="Q23" s="268">
        <f t="shared" si="3"/>
        <v>1.2999999999999999E-3</v>
      </c>
      <c r="R23" s="790"/>
      <c r="S23" s="268">
        <f t="shared" si="4"/>
        <v>2.52E-2</v>
      </c>
    </row>
    <row r="24" spans="1:19" ht="15">
      <c r="A24" s="791" t="s">
        <v>409</v>
      </c>
      <c r="B24" s="273">
        <v>354</v>
      </c>
      <c r="C24" s="268">
        <v>1.6400000000000001E-2</v>
      </c>
      <c r="D24" s="275">
        <v>0.49482100000000001</v>
      </c>
      <c r="E24" s="268">
        <f t="shared" si="0"/>
        <v>8.0999999999999996E-3</v>
      </c>
      <c r="F24" s="790"/>
      <c r="G24" s="268">
        <v>1.5900000000000001E-2</v>
      </c>
      <c r="H24" s="275">
        <v>0.41108299999999998</v>
      </c>
      <c r="I24" s="268">
        <f t="shared" si="1"/>
        <v>6.4999999999999997E-3</v>
      </c>
      <c r="J24" s="790"/>
      <c r="K24" s="268">
        <v>2.1899999999999999E-2</v>
      </c>
      <c r="L24" s="275">
        <v>3.6533000000000003E-2</v>
      </c>
      <c r="M24" s="268">
        <f t="shared" si="2"/>
        <v>8.0000000000000004E-4</v>
      </c>
      <c r="N24" s="790"/>
      <c r="O24" s="268">
        <v>2.1899999999999999E-2</v>
      </c>
      <c r="P24" s="275">
        <v>5.7563000000000003E-2</v>
      </c>
      <c r="Q24" s="268">
        <f t="shared" si="3"/>
        <v>1.2999999999999999E-3</v>
      </c>
      <c r="R24" s="790"/>
      <c r="S24" s="268">
        <f t="shared" si="4"/>
        <v>1.67E-2</v>
      </c>
    </row>
    <row r="25" spans="1:19" ht="15">
      <c r="A25" s="791" t="s">
        <v>410</v>
      </c>
      <c r="B25" s="273">
        <v>355</v>
      </c>
      <c r="C25" s="268">
        <v>3.4599999999999999E-2</v>
      </c>
      <c r="D25" s="275">
        <v>0.49482100000000001</v>
      </c>
      <c r="E25" s="268">
        <f t="shared" si="0"/>
        <v>1.7100000000000001E-2</v>
      </c>
      <c r="F25" s="790"/>
      <c r="G25" s="268">
        <v>2.7099999999999999E-2</v>
      </c>
      <c r="H25" s="275">
        <v>0.41108299999999998</v>
      </c>
      <c r="I25" s="268">
        <f t="shared" si="1"/>
        <v>1.11E-2</v>
      </c>
      <c r="J25" s="790"/>
      <c r="K25" s="268">
        <v>2.1899999999999999E-2</v>
      </c>
      <c r="L25" s="275">
        <v>3.6533000000000003E-2</v>
      </c>
      <c r="M25" s="268">
        <f t="shared" si="2"/>
        <v>8.0000000000000004E-4</v>
      </c>
      <c r="N25" s="790"/>
      <c r="O25" s="268">
        <v>2.1899999999999999E-2</v>
      </c>
      <c r="P25" s="275">
        <v>5.7563000000000003E-2</v>
      </c>
      <c r="Q25" s="268">
        <f t="shared" si="3"/>
        <v>1.2999999999999999E-3</v>
      </c>
      <c r="R25" s="790"/>
      <c r="S25" s="268">
        <f t="shared" si="4"/>
        <v>3.0300000000000001E-2</v>
      </c>
    </row>
    <row r="26" spans="1:19" ht="15">
      <c r="A26" s="791" t="s">
        <v>611</v>
      </c>
      <c r="B26" s="273">
        <v>356</v>
      </c>
      <c r="C26" s="268">
        <v>1.6500000000000001E-2</v>
      </c>
      <c r="D26" s="275">
        <v>0.49482100000000001</v>
      </c>
      <c r="E26" s="268">
        <f t="shared" si="0"/>
        <v>8.2000000000000007E-3</v>
      </c>
      <c r="F26" s="790"/>
      <c r="G26" s="268">
        <v>1.5299999999999999E-2</v>
      </c>
      <c r="H26" s="275">
        <v>0.41108299999999998</v>
      </c>
      <c r="I26" s="268">
        <f t="shared" si="1"/>
        <v>6.3E-3</v>
      </c>
      <c r="J26" s="790"/>
      <c r="K26" s="268">
        <v>2.1899999999999999E-2</v>
      </c>
      <c r="L26" s="275">
        <v>3.6533000000000003E-2</v>
      </c>
      <c r="M26" s="268">
        <f t="shared" si="2"/>
        <v>8.0000000000000004E-4</v>
      </c>
      <c r="N26" s="790"/>
      <c r="O26" s="268">
        <v>2.1899999999999999E-2</v>
      </c>
      <c r="P26" s="275">
        <v>5.7563000000000003E-2</v>
      </c>
      <c r="Q26" s="268">
        <f t="shared" si="3"/>
        <v>1.2999999999999999E-3</v>
      </c>
      <c r="R26" s="790"/>
      <c r="S26" s="268">
        <f t="shared" si="4"/>
        <v>1.66E-2</v>
      </c>
    </row>
    <row r="27" spans="1:19" ht="15">
      <c r="A27" s="791" t="s">
        <v>411</v>
      </c>
      <c r="B27" s="273">
        <v>357</v>
      </c>
      <c r="C27" s="268">
        <v>2.4899999999999999E-2</v>
      </c>
      <c r="D27" s="275">
        <v>0.49482100000000001</v>
      </c>
      <c r="E27" s="268">
        <f t="shared" si="0"/>
        <v>1.23E-2</v>
      </c>
      <c r="F27" s="790"/>
      <c r="G27" s="268">
        <v>3.7100000000000001E-2</v>
      </c>
      <c r="H27" s="275">
        <v>0.41108299999999998</v>
      </c>
      <c r="I27" s="268">
        <f t="shared" si="1"/>
        <v>1.5299999999999999E-2</v>
      </c>
      <c r="J27" s="790"/>
      <c r="K27" s="268">
        <v>2.1899999999999999E-2</v>
      </c>
      <c r="L27" s="275">
        <v>3.6533000000000003E-2</v>
      </c>
      <c r="M27" s="268">
        <f t="shared" si="2"/>
        <v>8.0000000000000004E-4</v>
      </c>
      <c r="N27" s="790"/>
      <c r="O27" s="268">
        <v>2.1899999999999999E-2</v>
      </c>
      <c r="P27" s="275">
        <v>5.7563000000000003E-2</v>
      </c>
      <c r="Q27" s="268">
        <f t="shared" si="3"/>
        <v>1.2999999999999999E-3</v>
      </c>
      <c r="R27" s="790"/>
      <c r="S27" s="268">
        <f t="shared" si="4"/>
        <v>2.9700000000000001E-2</v>
      </c>
    </row>
    <row r="28" spans="1:19" ht="15">
      <c r="A28" s="791" t="s">
        <v>412</v>
      </c>
      <c r="B28" s="273">
        <v>358</v>
      </c>
      <c r="C28" s="268">
        <v>4.7199999999999999E-2</v>
      </c>
      <c r="D28" s="275">
        <v>0.49482100000000001</v>
      </c>
      <c r="E28" s="268">
        <f t="shared" si="0"/>
        <v>2.3400000000000001E-2</v>
      </c>
      <c r="F28" s="790"/>
      <c r="G28" s="268">
        <v>5.2400000000000002E-2</v>
      </c>
      <c r="H28" s="275">
        <v>0.41108299999999998</v>
      </c>
      <c r="I28" s="268">
        <f t="shared" si="1"/>
        <v>2.1499999999999998E-2</v>
      </c>
      <c r="J28" s="790"/>
      <c r="K28" s="310">
        <v>2.1899999999999999E-2</v>
      </c>
      <c r="L28" s="275">
        <v>3.6533000000000003E-2</v>
      </c>
      <c r="M28" s="268">
        <f t="shared" si="2"/>
        <v>8.0000000000000004E-4</v>
      </c>
      <c r="N28" s="790"/>
      <c r="O28" s="310">
        <v>2.1899999999999999E-2</v>
      </c>
      <c r="P28" s="275">
        <v>5.7563000000000003E-2</v>
      </c>
      <c r="Q28" s="268">
        <f t="shared" si="3"/>
        <v>1.2999999999999999E-3</v>
      </c>
      <c r="R28" s="790"/>
      <c r="S28" s="268">
        <f t="shared" si="4"/>
        <v>4.7E-2</v>
      </c>
    </row>
    <row r="29" spans="1:19" ht="15.75" thickBot="1">
      <c r="A29" s="791"/>
      <c r="B29" s="790"/>
      <c r="C29" s="310"/>
      <c r="D29" s="311"/>
      <c r="E29" s="313"/>
      <c r="F29" s="790"/>
      <c r="G29" s="310"/>
      <c r="H29" s="311"/>
      <c r="I29" s="313"/>
      <c r="J29" s="790"/>
      <c r="K29" s="310"/>
      <c r="L29" s="311"/>
      <c r="M29" s="313"/>
      <c r="N29" s="790"/>
      <c r="O29" s="310"/>
      <c r="P29" s="311"/>
      <c r="Q29" s="268"/>
      <c r="R29" s="790"/>
      <c r="S29" s="268"/>
    </row>
    <row r="30" spans="1:19" ht="15">
      <c r="A30" s="1359" t="s">
        <v>1257</v>
      </c>
      <c r="B30" s="1360"/>
      <c r="C30" s="1361"/>
      <c r="D30" s="1362"/>
      <c r="E30" s="1363"/>
      <c r="F30" s="1360"/>
      <c r="G30" s="1361"/>
      <c r="H30" s="1362"/>
      <c r="I30" s="1363"/>
      <c r="J30" s="1360"/>
      <c r="K30" s="1360"/>
      <c r="L30" s="1362"/>
      <c r="M30" s="1363"/>
      <c r="N30" s="1360"/>
      <c r="O30" s="1360"/>
      <c r="P30" s="1362"/>
      <c r="Q30" s="1363"/>
      <c r="R30" s="1360"/>
      <c r="S30" s="1364"/>
    </row>
    <row r="31" spans="1:19" ht="15">
      <c r="A31" s="789" t="s">
        <v>813</v>
      </c>
      <c r="B31" s="273">
        <v>390</v>
      </c>
      <c r="C31" s="268">
        <v>1.89E-2</v>
      </c>
      <c r="D31" s="311">
        <v>0.523756</v>
      </c>
      <c r="E31" s="268">
        <f t="shared" ref="E31:E39" si="5">ROUND((C31*D31),4)</f>
        <v>9.9000000000000008E-3</v>
      </c>
      <c r="F31" s="790"/>
      <c r="G31" s="268">
        <v>1.9099999999999999E-2</v>
      </c>
      <c r="H31" s="312">
        <v>0.42594100000000001</v>
      </c>
      <c r="I31" s="268">
        <f t="shared" ref="I31:I39" si="6">ROUND((G31*H31),4)</f>
        <v>8.0999999999999996E-3</v>
      </c>
      <c r="J31" s="790"/>
      <c r="K31" s="268">
        <v>3.4300000000000004E-2</v>
      </c>
      <c r="L31" s="312">
        <v>1.9295E-2</v>
      </c>
      <c r="M31" s="268">
        <f t="shared" ref="M31:M39" si="7">ROUND((K31*L31),4)</f>
        <v>6.9999999999999999E-4</v>
      </c>
      <c r="N31" s="790"/>
      <c r="O31" s="268">
        <v>3.4300000000000004E-2</v>
      </c>
      <c r="P31" s="311">
        <v>3.1008999999999998E-2</v>
      </c>
      <c r="Q31" s="268">
        <f t="shared" ref="Q31:Q39" si="8">ROUND((O31*P31),4)</f>
        <v>1.1000000000000001E-3</v>
      </c>
      <c r="R31" s="790"/>
      <c r="S31" s="268">
        <f t="shared" ref="S31:S39" si="9">ROUND((((E31+I31)+M31)+Q31),4)</f>
        <v>1.9800000000000002E-2</v>
      </c>
    </row>
    <row r="32" spans="1:19" ht="15">
      <c r="A32" s="789" t="s">
        <v>814</v>
      </c>
      <c r="B32" s="273">
        <v>391</v>
      </c>
      <c r="C32" s="268">
        <v>3.2099999999999997E-2</v>
      </c>
      <c r="D32" s="311">
        <v>0.523756</v>
      </c>
      <c r="E32" s="268">
        <f t="shared" si="5"/>
        <v>1.6799999999999999E-2</v>
      </c>
      <c r="F32" s="790"/>
      <c r="G32" s="268">
        <v>3.1699999999999999E-2</v>
      </c>
      <c r="H32" s="312">
        <v>0.42594100000000001</v>
      </c>
      <c r="I32" s="268">
        <f t="shared" si="6"/>
        <v>1.35E-2</v>
      </c>
      <c r="J32" s="790"/>
      <c r="K32" s="268">
        <v>3.4300000000000004E-2</v>
      </c>
      <c r="L32" s="312">
        <v>1.9295E-2</v>
      </c>
      <c r="M32" s="268">
        <f t="shared" si="7"/>
        <v>6.9999999999999999E-4</v>
      </c>
      <c r="N32" s="790"/>
      <c r="O32" s="268">
        <v>3.4300000000000004E-2</v>
      </c>
      <c r="P32" s="311">
        <v>3.1008999999999998E-2</v>
      </c>
      <c r="Q32" s="268">
        <f t="shared" si="8"/>
        <v>1.1000000000000001E-3</v>
      </c>
      <c r="R32" s="790"/>
      <c r="S32" s="268">
        <f t="shared" si="9"/>
        <v>3.2099999999999997E-2</v>
      </c>
    </row>
    <row r="33" spans="1:19" ht="15">
      <c r="A33" s="789" t="s">
        <v>1258</v>
      </c>
      <c r="B33" s="273">
        <v>392</v>
      </c>
      <c r="C33" s="268">
        <v>3.4599999999999999E-2</v>
      </c>
      <c r="D33" s="275">
        <v>0.523756</v>
      </c>
      <c r="E33" s="268">
        <f t="shared" si="5"/>
        <v>1.8100000000000002E-2</v>
      </c>
      <c r="F33" s="790"/>
      <c r="G33" s="268">
        <v>3.4000000000000002E-2</v>
      </c>
      <c r="H33" s="275">
        <v>0.42594100000000001</v>
      </c>
      <c r="I33" s="268">
        <f t="shared" si="6"/>
        <v>1.4500000000000001E-2</v>
      </c>
      <c r="J33" s="790"/>
      <c r="K33" s="268">
        <v>3.4300000000000004E-2</v>
      </c>
      <c r="L33" s="275">
        <v>1.9295E-2</v>
      </c>
      <c r="M33" s="268">
        <f t="shared" si="7"/>
        <v>6.9999999999999999E-4</v>
      </c>
      <c r="N33" s="790"/>
      <c r="O33" s="268">
        <v>3.4300000000000004E-2</v>
      </c>
      <c r="P33" s="275">
        <v>3.1008999999999998E-2</v>
      </c>
      <c r="Q33" s="268">
        <f t="shared" si="8"/>
        <v>1.1000000000000001E-3</v>
      </c>
      <c r="R33" s="790"/>
      <c r="S33" s="268">
        <f t="shared" si="9"/>
        <v>3.44E-2</v>
      </c>
    </row>
    <row r="34" spans="1:19" ht="15">
      <c r="A34" s="789" t="s">
        <v>815</v>
      </c>
      <c r="B34" s="273">
        <v>393</v>
      </c>
      <c r="C34" s="268">
        <v>1.78E-2</v>
      </c>
      <c r="D34" s="275">
        <v>0.523756</v>
      </c>
      <c r="E34" s="268">
        <f t="shared" si="5"/>
        <v>9.2999999999999992E-3</v>
      </c>
      <c r="F34" s="790"/>
      <c r="G34" s="268">
        <v>1.7999999999999999E-2</v>
      </c>
      <c r="H34" s="275">
        <v>0.42594100000000001</v>
      </c>
      <c r="I34" s="268">
        <f t="shared" si="6"/>
        <v>7.7000000000000002E-3</v>
      </c>
      <c r="J34" s="790"/>
      <c r="K34" s="268">
        <v>3.4300000000000004E-2</v>
      </c>
      <c r="L34" s="275">
        <v>1.9295E-2</v>
      </c>
      <c r="M34" s="268">
        <f t="shared" si="7"/>
        <v>6.9999999999999999E-4</v>
      </c>
      <c r="N34" s="790"/>
      <c r="O34" s="268">
        <v>3.4300000000000004E-2</v>
      </c>
      <c r="P34" s="275">
        <v>3.1008999999999998E-2</v>
      </c>
      <c r="Q34" s="268">
        <f t="shared" si="8"/>
        <v>1.1000000000000001E-3</v>
      </c>
      <c r="R34" s="790"/>
      <c r="S34" s="268">
        <f t="shared" si="9"/>
        <v>1.8800000000000001E-2</v>
      </c>
    </row>
    <row r="35" spans="1:19" ht="15.75" customHeight="1">
      <c r="A35" s="789" t="s">
        <v>816</v>
      </c>
      <c r="B35" s="273">
        <v>394</v>
      </c>
      <c r="C35" s="268">
        <v>2.5899999999999999E-2</v>
      </c>
      <c r="D35" s="275">
        <v>0.523756</v>
      </c>
      <c r="E35" s="268">
        <f t="shared" si="5"/>
        <v>1.3599999999999999E-2</v>
      </c>
      <c r="F35" s="790"/>
      <c r="G35" s="268">
        <v>2.5700000000000001E-2</v>
      </c>
      <c r="H35" s="275">
        <v>0.42594100000000001</v>
      </c>
      <c r="I35" s="268">
        <f t="shared" si="6"/>
        <v>1.09E-2</v>
      </c>
      <c r="J35" s="790"/>
      <c r="K35" s="268">
        <v>3.4300000000000004E-2</v>
      </c>
      <c r="L35" s="275">
        <v>1.9295E-2</v>
      </c>
      <c r="M35" s="268">
        <f t="shared" si="7"/>
        <v>6.9999999999999999E-4</v>
      </c>
      <c r="N35" s="790"/>
      <c r="O35" s="268">
        <v>3.4300000000000004E-2</v>
      </c>
      <c r="P35" s="275">
        <v>3.1008999999999998E-2</v>
      </c>
      <c r="Q35" s="268">
        <f t="shared" si="8"/>
        <v>1.1000000000000001E-3</v>
      </c>
      <c r="R35" s="790"/>
      <c r="S35" s="268">
        <f t="shared" si="9"/>
        <v>2.63E-2</v>
      </c>
    </row>
    <row r="36" spans="1:19" ht="15.75" customHeight="1">
      <c r="A36" s="789" t="s">
        <v>817</v>
      </c>
      <c r="B36" s="273">
        <v>395</v>
      </c>
      <c r="C36" s="268">
        <v>3.8699999999999998E-2</v>
      </c>
      <c r="D36" s="275">
        <v>0.523756</v>
      </c>
      <c r="E36" s="268">
        <f t="shared" si="5"/>
        <v>2.0299999999999999E-2</v>
      </c>
      <c r="F36" s="790"/>
      <c r="G36" s="268">
        <v>4.0099999999999997E-2</v>
      </c>
      <c r="H36" s="275">
        <v>0.42594100000000001</v>
      </c>
      <c r="I36" s="268">
        <f t="shared" si="6"/>
        <v>1.7100000000000001E-2</v>
      </c>
      <c r="J36" s="790"/>
      <c r="K36" s="268">
        <v>3.4300000000000004E-2</v>
      </c>
      <c r="L36" s="275">
        <v>1.9295E-2</v>
      </c>
      <c r="M36" s="268">
        <f t="shared" si="7"/>
        <v>6.9999999999999999E-4</v>
      </c>
      <c r="N36" s="790"/>
      <c r="O36" s="268">
        <v>3.4300000000000004E-2</v>
      </c>
      <c r="P36" s="275">
        <v>3.1008999999999998E-2</v>
      </c>
      <c r="Q36" s="268">
        <f t="shared" si="8"/>
        <v>1.1000000000000001E-3</v>
      </c>
      <c r="R36" s="790"/>
      <c r="S36" s="268">
        <f t="shared" si="9"/>
        <v>3.9199999999999999E-2</v>
      </c>
    </row>
    <row r="37" spans="1:19" ht="15.75" customHeight="1">
      <c r="A37" s="789" t="s">
        <v>1259</v>
      </c>
      <c r="B37" s="273">
        <v>396</v>
      </c>
      <c r="C37" s="268">
        <v>0</v>
      </c>
      <c r="D37" s="275">
        <v>0.523756</v>
      </c>
      <c r="E37" s="268">
        <f t="shared" si="5"/>
        <v>0</v>
      </c>
      <c r="F37" s="790"/>
      <c r="G37" s="268">
        <v>3.9E-2</v>
      </c>
      <c r="H37" s="275">
        <v>0.42594100000000001</v>
      </c>
      <c r="I37" s="268">
        <f t="shared" si="6"/>
        <v>1.66E-2</v>
      </c>
      <c r="J37" s="790"/>
      <c r="K37" s="268">
        <v>3.4300000000000004E-2</v>
      </c>
      <c r="L37" s="275">
        <v>1.9295E-2</v>
      </c>
      <c r="M37" s="268">
        <f t="shared" si="7"/>
        <v>6.9999999999999999E-4</v>
      </c>
      <c r="N37" s="790"/>
      <c r="O37" s="268">
        <v>3.4300000000000004E-2</v>
      </c>
      <c r="P37" s="275">
        <v>3.1008999999999998E-2</v>
      </c>
      <c r="Q37" s="268">
        <f t="shared" si="8"/>
        <v>1.1000000000000001E-3</v>
      </c>
      <c r="R37" s="790"/>
      <c r="S37" s="268">
        <f t="shared" si="9"/>
        <v>1.84E-2</v>
      </c>
    </row>
    <row r="38" spans="1:19" ht="15">
      <c r="A38" s="789" t="s">
        <v>818</v>
      </c>
      <c r="B38" s="273">
        <v>397</v>
      </c>
      <c r="C38" s="268">
        <v>5.0500000000000003E-2</v>
      </c>
      <c r="D38" s="275">
        <v>0.523756</v>
      </c>
      <c r="E38" s="268">
        <f t="shared" si="5"/>
        <v>2.64E-2</v>
      </c>
      <c r="F38" s="790"/>
      <c r="G38" s="268">
        <v>4.9799999999999997E-2</v>
      </c>
      <c r="H38" s="275">
        <v>0.42594100000000001</v>
      </c>
      <c r="I38" s="268">
        <f t="shared" si="6"/>
        <v>2.12E-2</v>
      </c>
      <c r="J38" s="790"/>
      <c r="K38" s="268">
        <v>3.4300000000000004E-2</v>
      </c>
      <c r="L38" s="275">
        <v>1.9295E-2</v>
      </c>
      <c r="M38" s="268">
        <f t="shared" si="7"/>
        <v>6.9999999999999999E-4</v>
      </c>
      <c r="N38" s="790"/>
      <c r="O38" s="268">
        <v>3.4300000000000004E-2</v>
      </c>
      <c r="P38" s="275">
        <v>3.1008999999999998E-2</v>
      </c>
      <c r="Q38" s="268">
        <f t="shared" si="8"/>
        <v>1.1000000000000001E-3</v>
      </c>
      <c r="R38" s="790"/>
      <c r="S38" s="268">
        <f t="shared" si="9"/>
        <v>4.9399999999999999E-2</v>
      </c>
    </row>
    <row r="39" spans="1:19" ht="15">
      <c r="A39" s="789" t="s">
        <v>819</v>
      </c>
      <c r="B39" s="273">
        <v>398</v>
      </c>
      <c r="C39" s="268">
        <v>2.6700000000000002E-2</v>
      </c>
      <c r="D39" s="275">
        <v>0.523756</v>
      </c>
      <c r="E39" s="268">
        <f t="shared" si="5"/>
        <v>1.4E-2</v>
      </c>
      <c r="F39" s="790"/>
      <c r="G39" s="268">
        <v>2.7E-2</v>
      </c>
      <c r="H39" s="275">
        <v>0.42594100000000001</v>
      </c>
      <c r="I39" s="268">
        <f t="shared" si="6"/>
        <v>1.15E-2</v>
      </c>
      <c r="J39" s="790"/>
      <c r="K39" s="310">
        <v>3.4300000000000004E-2</v>
      </c>
      <c r="L39" s="275">
        <v>1.9295E-2</v>
      </c>
      <c r="M39" s="268">
        <f t="shared" si="7"/>
        <v>6.9999999999999999E-4</v>
      </c>
      <c r="N39" s="790"/>
      <c r="O39" s="310">
        <v>3.4300000000000004E-2</v>
      </c>
      <c r="P39" s="275">
        <v>3.1008999999999998E-2</v>
      </c>
      <c r="Q39" s="268">
        <f t="shared" si="8"/>
        <v>1.1000000000000001E-3</v>
      </c>
      <c r="R39" s="790"/>
      <c r="S39" s="268">
        <f t="shared" si="9"/>
        <v>2.7300000000000001E-2</v>
      </c>
    </row>
    <row r="40" spans="1:19" ht="15.75" thickBot="1">
      <c r="A40" s="1365"/>
      <c r="B40" s="1366"/>
      <c r="C40" s="1367"/>
      <c r="D40" s="1368"/>
      <c r="E40" s="1369"/>
      <c r="F40" s="1366"/>
      <c r="G40" s="1369"/>
      <c r="H40" s="1368"/>
      <c r="I40" s="1369"/>
      <c r="J40" s="1366"/>
      <c r="K40" s="1367"/>
      <c r="L40" s="1368"/>
      <c r="M40" s="1369"/>
      <c r="N40" s="1366"/>
      <c r="O40" s="1367"/>
      <c r="P40" s="1368"/>
      <c r="Q40" s="1369"/>
      <c r="R40" s="1366"/>
      <c r="S40" s="1369"/>
    </row>
    <row r="41" spans="1:19" ht="15">
      <c r="A41" s="777"/>
      <c r="B41" s="779"/>
      <c r="C41" s="268"/>
      <c r="D41" s="777"/>
      <c r="E41" s="777"/>
      <c r="F41" s="777"/>
      <c r="G41" s="274"/>
      <c r="H41" s="777"/>
      <c r="I41" s="777"/>
      <c r="J41" s="777"/>
      <c r="K41" s="777"/>
      <c r="L41" s="777"/>
      <c r="M41" s="777"/>
      <c r="N41" s="777"/>
      <c r="O41" s="777"/>
      <c r="P41" s="777"/>
      <c r="Q41" s="777"/>
      <c r="R41" s="777"/>
      <c r="S41" s="777"/>
    </row>
    <row r="42" spans="1:19" ht="15" customHeight="1">
      <c r="A42" s="777" t="s">
        <v>1430</v>
      </c>
      <c r="B42" s="792"/>
      <c r="C42" s="276"/>
      <c r="D42" s="792"/>
      <c r="E42" s="777"/>
      <c r="F42" s="793" t="s">
        <v>123</v>
      </c>
      <c r="G42" s="274" t="s">
        <v>1434</v>
      </c>
      <c r="H42" s="779"/>
      <c r="I42" s="777"/>
      <c r="J42" s="777"/>
      <c r="K42" s="777"/>
      <c r="L42" s="793"/>
      <c r="M42" s="777"/>
      <c r="N42" s="777"/>
      <c r="O42" s="777"/>
      <c r="P42" s="777"/>
      <c r="Q42" s="777"/>
      <c r="R42" s="777"/>
      <c r="S42" s="777"/>
    </row>
    <row r="43" spans="1:19" ht="15.75">
      <c r="A43" s="777" t="s">
        <v>1431</v>
      </c>
      <c r="B43" s="792"/>
      <c r="C43" s="276"/>
      <c r="D43" s="792"/>
      <c r="E43" s="792"/>
      <c r="F43" s="794"/>
      <c r="G43" s="274"/>
      <c r="H43" s="779"/>
      <c r="I43" s="777"/>
      <c r="J43" s="777"/>
      <c r="K43" s="777"/>
      <c r="L43" s="777"/>
      <c r="M43" s="777"/>
      <c r="N43" s="777"/>
      <c r="O43" s="777"/>
      <c r="P43" s="777"/>
      <c r="Q43" s="777"/>
      <c r="R43" s="777"/>
      <c r="S43" s="777"/>
    </row>
    <row r="44" spans="1:19" ht="15" customHeight="1">
      <c r="A44" s="777"/>
      <c r="B44" s="792"/>
      <c r="C44" s="276"/>
      <c r="D44" s="795"/>
      <c r="E44" s="795"/>
      <c r="F44" s="793" t="s">
        <v>612</v>
      </c>
      <c r="G44" s="274" t="s">
        <v>1435</v>
      </c>
      <c r="H44" s="777"/>
      <c r="I44" s="777"/>
      <c r="J44" s="777"/>
      <c r="K44" s="777"/>
      <c r="L44" s="777"/>
      <c r="M44" s="777"/>
      <c r="N44" s="777"/>
      <c r="O44" s="777"/>
      <c r="P44" s="777"/>
      <c r="Q44" s="777"/>
      <c r="R44" s="777"/>
      <c r="S44" s="777"/>
    </row>
    <row r="45" spans="1:19" ht="15.75">
      <c r="A45" s="777" t="s">
        <v>1432</v>
      </c>
      <c r="B45" s="792"/>
      <c r="C45" s="276"/>
      <c r="D45" s="792"/>
      <c r="E45" s="792"/>
      <c r="F45" s="794"/>
      <c r="G45" s="274"/>
      <c r="H45" s="779"/>
      <c r="I45" s="777"/>
      <c r="J45" s="777"/>
      <c r="K45" s="777"/>
      <c r="L45" s="777"/>
      <c r="M45" s="777"/>
      <c r="N45" s="777"/>
      <c r="O45" s="777"/>
      <c r="P45" s="777"/>
      <c r="Q45" s="777"/>
      <c r="R45" s="777"/>
      <c r="S45" s="777"/>
    </row>
    <row r="46" spans="1:19" ht="15.75">
      <c r="A46" s="777" t="s">
        <v>1433</v>
      </c>
      <c r="B46" s="792"/>
      <c r="C46" s="276"/>
      <c r="D46" s="792"/>
      <c r="E46" s="792"/>
      <c r="F46" s="793" t="s">
        <v>613</v>
      </c>
      <c r="G46" s="1577" t="s">
        <v>614</v>
      </c>
      <c r="H46" s="1577"/>
      <c r="I46" s="1577"/>
      <c r="J46" s="1577"/>
      <c r="K46" s="1577"/>
      <c r="L46" s="1577"/>
      <c r="M46" s="777"/>
      <c r="N46" s="777"/>
      <c r="O46" s="777"/>
      <c r="P46" s="777"/>
      <c r="Q46" s="777"/>
      <c r="R46" s="777"/>
      <c r="S46" s="777"/>
    </row>
    <row r="47" spans="1:19" ht="15.75">
      <c r="A47" s="777"/>
      <c r="B47" s="792"/>
      <c r="C47" s="276"/>
      <c r="D47" s="792"/>
      <c r="E47" s="792"/>
      <c r="F47" s="793"/>
      <c r="G47" s="1577" t="s">
        <v>615</v>
      </c>
      <c r="H47" s="1577"/>
      <c r="I47" s="1577"/>
      <c r="J47" s="1577"/>
      <c r="K47" s="1577"/>
      <c r="L47" s="1577"/>
      <c r="M47" s="777"/>
      <c r="N47" s="777"/>
      <c r="O47" s="777"/>
      <c r="P47" s="777"/>
      <c r="Q47" s="777"/>
      <c r="R47" s="777"/>
      <c r="S47" s="777"/>
    </row>
    <row r="48" spans="1:19" ht="15.75">
      <c r="A48" s="777"/>
      <c r="B48" s="792"/>
      <c r="C48" s="276"/>
      <c r="D48" s="792"/>
      <c r="E48" s="792"/>
      <c r="F48" s="793"/>
      <c r="G48" s="1577" t="s">
        <v>616</v>
      </c>
      <c r="H48" s="1577"/>
      <c r="I48" s="1577"/>
      <c r="J48" s="1577"/>
      <c r="K48" s="1577"/>
      <c r="L48" s="1577"/>
      <c r="M48" s="777"/>
      <c r="N48" s="777"/>
      <c r="O48" s="777"/>
      <c r="P48" s="777"/>
      <c r="Q48" s="777"/>
      <c r="R48" s="777"/>
      <c r="S48" s="777"/>
    </row>
    <row r="49" spans="1:19" ht="15.75">
      <c r="A49" s="796"/>
      <c r="B49" s="779"/>
      <c r="C49" s="268"/>
      <c r="D49" s="777"/>
      <c r="E49" s="777"/>
      <c r="F49" s="777"/>
      <c r="G49" s="1577" t="s">
        <v>114</v>
      </c>
      <c r="H49" s="1577"/>
      <c r="I49" s="1577"/>
      <c r="J49" s="1577"/>
      <c r="K49" s="1577"/>
      <c r="L49" s="1577"/>
      <c r="M49" s="777"/>
      <c r="N49" s="777"/>
      <c r="O49" s="777"/>
      <c r="P49" s="777"/>
      <c r="Q49" s="777"/>
      <c r="R49" s="777"/>
      <c r="S49" s="777"/>
    </row>
    <row r="50" spans="1:19" ht="15.75">
      <c r="A50" s="796"/>
      <c r="B50" s="779"/>
      <c r="C50" s="268"/>
      <c r="D50" s="777"/>
      <c r="E50" s="777"/>
      <c r="F50" s="793" t="s">
        <v>617</v>
      </c>
      <c r="G50" s="1577" t="s">
        <v>1436</v>
      </c>
      <c r="H50" s="1577"/>
      <c r="I50" s="1577"/>
      <c r="J50" s="1577"/>
      <c r="K50" s="1577"/>
      <c r="L50" s="1577"/>
      <c r="M50" s="777"/>
      <c r="N50" s="777"/>
      <c r="O50" s="777"/>
      <c r="P50" s="777"/>
      <c r="Q50" s="777"/>
      <c r="R50" s="777"/>
      <c r="S50" s="777"/>
    </row>
    <row r="51" spans="1:19" ht="15.75">
      <c r="A51" s="796" t="s">
        <v>413</v>
      </c>
      <c r="B51" s="779"/>
      <c r="C51" s="268"/>
      <c r="D51" s="777"/>
      <c r="E51" s="777"/>
      <c r="F51" s="777"/>
      <c r="G51" s="777" t="s">
        <v>1437</v>
      </c>
      <c r="H51" s="777"/>
      <c r="I51" s="777"/>
      <c r="J51" s="777"/>
      <c r="K51" s="777"/>
      <c r="L51" s="777"/>
      <c r="M51" s="777"/>
      <c r="N51" s="777"/>
      <c r="O51" s="797"/>
      <c r="P51" s="777"/>
      <c r="Q51" s="777"/>
      <c r="R51" s="777"/>
      <c r="S51" s="777"/>
    </row>
    <row r="52" spans="1:19" ht="15">
      <c r="A52" s="798" t="s">
        <v>29</v>
      </c>
      <c r="B52" s="799"/>
      <c r="C52" s="799"/>
      <c r="D52" s="800"/>
      <c r="E52" s="777"/>
      <c r="F52" s="777"/>
      <c r="G52" s="274"/>
      <c r="H52" s="777"/>
      <c r="I52" s="777"/>
      <c r="J52" s="777"/>
      <c r="K52" s="777"/>
      <c r="L52" s="777"/>
      <c r="M52" s="777"/>
      <c r="N52" s="777"/>
      <c r="O52" s="797"/>
      <c r="P52" s="777"/>
      <c r="Q52" s="777"/>
      <c r="R52" s="777"/>
      <c r="S52" s="777"/>
    </row>
    <row r="53" spans="1:19" ht="15">
      <c r="A53" s="1578" t="s">
        <v>618</v>
      </c>
      <c r="B53" s="1579"/>
      <c r="C53" s="1579"/>
      <c r="D53" s="1579"/>
      <c r="E53" s="1579"/>
      <c r="F53" s="1579"/>
      <c r="G53" s="1579"/>
      <c r="H53" s="1579"/>
      <c r="I53" s="1579"/>
      <c r="J53" s="1579"/>
      <c r="K53" s="1579"/>
      <c r="L53" s="1579"/>
      <c r="M53" s="1579"/>
      <c r="N53" s="1579"/>
      <c r="O53" s="777"/>
      <c r="P53" s="777"/>
      <c r="Q53" s="777"/>
      <c r="R53" s="777"/>
      <c r="S53" s="777"/>
    </row>
    <row r="54" spans="1:19" ht="15">
      <c r="A54" s="1579"/>
      <c r="B54" s="1579"/>
      <c r="C54" s="1579"/>
      <c r="D54" s="1579"/>
      <c r="E54" s="1579"/>
      <c r="F54" s="1579"/>
      <c r="G54" s="1579"/>
      <c r="H54" s="1579"/>
      <c r="I54" s="1579"/>
      <c r="J54" s="1579"/>
      <c r="K54" s="1579"/>
      <c r="L54" s="1579"/>
      <c r="M54" s="1579"/>
      <c r="N54" s="1579"/>
      <c r="O54" s="777"/>
      <c r="P54" s="777"/>
      <c r="Q54" s="777"/>
      <c r="R54" s="777"/>
      <c r="S54" s="777"/>
    </row>
    <row r="55" spans="1:19" ht="15">
      <c r="A55" s="1479" t="s">
        <v>828</v>
      </c>
      <c r="B55" s="1479"/>
      <c r="C55" s="1479"/>
      <c r="D55" s="1479"/>
      <c r="E55" s="1479"/>
      <c r="F55" s="1479"/>
      <c r="G55" s="1479"/>
      <c r="H55" s="1479"/>
      <c r="I55" s="1479"/>
      <c r="J55" s="1479"/>
      <c r="K55" s="1479"/>
      <c r="L55" s="1479"/>
      <c r="M55" s="1479"/>
      <c r="N55" s="1479"/>
      <c r="O55" s="777"/>
      <c r="P55" s="777"/>
      <c r="Q55" s="777"/>
      <c r="R55" s="777"/>
      <c r="S55" s="777"/>
    </row>
    <row r="56" spans="1:19" ht="15">
      <c r="A56" s="1479"/>
      <c r="B56" s="1479"/>
      <c r="C56" s="1479"/>
      <c r="D56" s="1479"/>
      <c r="E56" s="1479"/>
      <c r="F56" s="1479"/>
      <c r="G56" s="1479"/>
      <c r="H56" s="1479"/>
      <c r="I56" s="1479"/>
      <c r="J56" s="1479"/>
      <c r="K56" s="1479"/>
      <c r="L56" s="1479"/>
      <c r="M56" s="1479"/>
      <c r="N56" s="1479"/>
      <c r="O56" s="777"/>
      <c r="P56" s="777"/>
      <c r="Q56" s="777"/>
      <c r="R56" s="777"/>
      <c r="S56" s="777"/>
    </row>
  </sheetData>
  <mergeCells count="19">
    <mergeCell ref="A55:N56"/>
    <mergeCell ref="G46:L46"/>
    <mergeCell ref="G47:L47"/>
    <mergeCell ref="G48:L48"/>
    <mergeCell ref="G49:L49"/>
    <mergeCell ref="A53:N54"/>
    <mergeCell ref="G50:L50"/>
    <mergeCell ref="A3:O3"/>
    <mergeCell ref="A6:O6"/>
    <mergeCell ref="A7:O7"/>
    <mergeCell ref="A4:O4"/>
    <mergeCell ref="A5:O5"/>
    <mergeCell ref="A8:O8"/>
    <mergeCell ref="A9:O9"/>
    <mergeCell ref="A10:O10"/>
    <mergeCell ref="C12:E12"/>
    <mergeCell ref="G12:I12"/>
    <mergeCell ref="K12:M12"/>
    <mergeCell ref="O12:Q12"/>
  </mergeCells>
  <phoneticPr fontId="4" type="noConversion"/>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60" zoomScaleNormal="70" workbookViewId="0">
      <selection activeCell="A8" sqref="A8:K8"/>
    </sheetView>
  </sheetViews>
  <sheetFormatPr defaultColWidth="9.140625" defaultRowHeight="12.75"/>
  <cols>
    <col min="1" max="1" width="34.28515625" style="1141" customWidth="1"/>
    <col min="2" max="2" width="9.140625" style="1141"/>
    <col min="3" max="3" width="11.85546875" style="1141" customWidth="1"/>
    <col min="4" max="4" width="18.28515625" style="1141" customWidth="1"/>
    <col min="5" max="5" width="12.5703125" style="1141" customWidth="1"/>
    <col min="6" max="6" width="9.140625" style="1141"/>
    <col min="7" max="7" width="12.140625" style="1141" customWidth="1"/>
    <col min="8" max="8" width="18.85546875" style="1141" customWidth="1"/>
    <col min="9" max="9" width="15.5703125" style="1141" bestFit="1" customWidth="1"/>
    <col min="10" max="16384" width="9.140625" style="1141"/>
  </cols>
  <sheetData>
    <row r="1" spans="1:11" s="777" customFormat="1" ht="15.75">
      <c r="A1" s="893" t="s">
        <v>114</v>
      </c>
      <c r="G1" s="274"/>
    </row>
    <row r="2" spans="1:11" s="777" customFormat="1" ht="15.75">
      <c r="A2" s="893" t="s">
        <v>114</v>
      </c>
      <c r="G2" s="274"/>
    </row>
    <row r="3" spans="1:11" ht="19.5">
      <c r="A3" s="1580" t="s">
        <v>391</v>
      </c>
      <c r="B3" s="1580"/>
      <c r="C3" s="1580"/>
      <c r="D3" s="1580"/>
      <c r="E3" s="1580"/>
      <c r="F3" s="1580"/>
      <c r="G3" s="1580"/>
      <c r="H3" s="1580"/>
      <c r="I3" s="1580"/>
      <c r="J3" s="1580"/>
      <c r="K3" s="1580"/>
    </row>
    <row r="4" spans="1:11" ht="19.5">
      <c r="A4" s="1580" t="s">
        <v>392</v>
      </c>
      <c r="B4" s="1580"/>
      <c r="C4" s="1580"/>
      <c r="D4" s="1580"/>
      <c r="E4" s="1580"/>
      <c r="F4" s="1580"/>
      <c r="G4" s="1580"/>
      <c r="H4" s="1580"/>
      <c r="I4" s="1580"/>
      <c r="J4" s="1580"/>
      <c r="K4" s="1580"/>
    </row>
    <row r="5" spans="1:11" ht="19.5">
      <c r="A5" s="1580" t="s">
        <v>393</v>
      </c>
      <c r="B5" s="1580"/>
      <c r="C5" s="1580"/>
      <c r="D5" s="1580"/>
      <c r="E5" s="1580"/>
      <c r="F5" s="1580"/>
      <c r="G5" s="1580"/>
      <c r="H5" s="1580"/>
      <c r="I5" s="1580"/>
      <c r="J5" s="1580"/>
      <c r="K5" s="1580"/>
    </row>
    <row r="6" spans="1:11" ht="19.5">
      <c r="A6" s="1580" t="s">
        <v>394</v>
      </c>
      <c r="B6" s="1580"/>
      <c r="C6" s="1580"/>
      <c r="D6" s="1580"/>
      <c r="E6" s="1580"/>
      <c r="F6" s="1580"/>
      <c r="G6" s="1580"/>
      <c r="H6" s="1580"/>
      <c r="I6" s="1580"/>
      <c r="J6" s="1580"/>
      <c r="K6" s="1580"/>
    </row>
    <row r="7" spans="1:11" ht="19.5">
      <c r="A7" s="1580" t="s">
        <v>1446</v>
      </c>
      <c r="B7" s="1580"/>
      <c r="C7" s="1580"/>
      <c r="D7" s="1580"/>
      <c r="E7" s="1580"/>
      <c r="F7" s="1580"/>
      <c r="G7" s="1580"/>
      <c r="H7" s="1580"/>
      <c r="I7" s="1580"/>
      <c r="J7" s="1580"/>
      <c r="K7" s="1580"/>
    </row>
    <row r="8" spans="1:11" ht="19.5">
      <c r="A8" s="1580" t="s">
        <v>395</v>
      </c>
      <c r="B8" s="1580"/>
      <c r="C8" s="1580"/>
      <c r="D8" s="1580"/>
      <c r="E8" s="1580"/>
      <c r="F8" s="1580"/>
      <c r="G8" s="1580"/>
      <c r="H8" s="1580"/>
      <c r="I8" s="1580"/>
      <c r="J8" s="1580"/>
      <c r="K8" s="1580"/>
    </row>
    <row r="9" spans="1:11" ht="19.5">
      <c r="A9" s="1580" t="s">
        <v>771</v>
      </c>
      <c r="B9" s="1580"/>
      <c r="C9" s="1580"/>
      <c r="D9" s="1580"/>
      <c r="E9" s="1580"/>
      <c r="F9" s="1580"/>
      <c r="G9" s="1580"/>
      <c r="H9" s="1580"/>
      <c r="I9" s="1580"/>
      <c r="J9" s="1580"/>
      <c r="K9" s="1580"/>
    </row>
    <row r="10" spans="1:11" ht="19.5">
      <c r="A10" s="1583"/>
      <c r="B10" s="1583"/>
      <c r="C10" s="1583"/>
      <c r="D10" s="1583"/>
      <c r="E10" s="1583"/>
      <c r="F10" s="1583"/>
      <c r="G10" s="1583"/>
      <c r="H10" s="1583"/>
      <c r="I10" s="1583"/>
      <c r="J10" s="1583"/>
      <c r="K10" s="1583"/>
    </row>
    <row r="11" spans="1:11" ht="16.5" thickBot="1">
      <c r="A11" s="1142"/>
      <c r="B11" s="1142"/>
      <c r="C11" s="1584" t="s">
        <v>772</v>
      </c>
      <c r="D11" s="1584"/>
      <c r="E11" s="1584"/>
      <c r="F11" s="1142"/>
      <c r="G11" s="1584" t="s">
        <v>1428</v>
      </c>
      <c r="H11" s="1584"/>
      <c r="I11" s="1584"/>
      <c r="J11" s="1142"/>
      <c r="K11" s="1143" t="s">
        <v>397</v>
      </c>
    </row>
    <row r="12" spans="1:11" ht="15.75">
      <c r="A12" s="1144"/>
      <c r="B12" s="1142"/>
      <c r="C12" s="1145" t="s">
        <v>121</v>
      </c>
      <c r="D12" s="1146"/>
      <c r="E12" s="1146"/>
      <c r="F12" s="1146"/>
      <c r="G12" s="1147" t="s">
        <v>122</v>
      </c>
      <c r="H12" s="1148"/>
      <c r="I12" s="1148"/>
      <c r="J12" s="1148"/>
      <c r="K12" s="1148"/>
    </row>
    <row r="13" spans="1:11" ht="15">
      <c r="A13" s="1142"/>
      <c r="B13" s="1142"/>
      <c r="C13" s="1145" t="s">
        <v>114</v>
      </c>
      <c r="D13" s="1146"/>
      <c r="E13" s="1145" t="s">
        <v>398</v>
      </c>
      <c r="F13" s="1146"/>
      <c r="G13" s="1147" t="s">
        <v>773</v>
      </c>
      <c r="H13" s="1146"/>
      <c r="I13" s="1145" t="s">
        <v>398</v>
      </c>
      <c r="J13" s="1146"/>
      <c r="K13" s="1145" t="s">
        <v>398</v>
      </c>
    </row>
    <row r="14" spans="1:11" ht="15">
      <c r="A14" s="1142"/>
      <c r="B14" s="1145" t="s">
        <v>399</v>
      </c>
      <c r="C14" s="1145" t="s">
        <v>774</v>
      </c>
      <c r="D14" s="1145" t="s">
        <v>400</v>
      </c>
      <c r="E14" s="1145" t="s">
        <v>401</v>
      </c>
      <c r="F14" s="1146"/>
      <c r="G14" s="1147" t="s">
        <v>402</v>
      </c>
      <c r="H14" s="1145" t="s">
        <v>400</v>
      </c>
      <c r="I14" s="1145" t="s">
        <v>401</v>
      </c>
      <c r="J14" s="1146"/>
      <c r="K14" s="1145" t="s">
        <v>401</v>
      </c>
    </row>
    <row r="15" spans="1:11" ht="15">
      <c r="A15" s="1145"/>
      <c r="B15" s="1145" t="s">
        <v>403</v>
      </c>
      <c r="C15" s="1145" t="s">
        <v>404</v>
      </c>
      <c r="D15" s="1145" t="s">
        <v>775</v>
      </c>
      <c r="E15" s="1145" t="s">
        <v>405</v>
      </c>
      <c r="F15" s="1146"/>
      <c r="G15" s="1147" t="s">
        <v>404</v>
      </c>
      <c r="H15" s="1145" t="s">
        <v>775</v>
      </c>
      <c r="I15" s="1145" t="s">
        <v>405</v>
      </c>
      <c r="J15" s="1146"/>
      <c r="K15" s="1145" t="s">
        <v>405</v>
      </c>
    </row>
    <row r="16" spans="1:11" ht="15">
      <c r="A16" s="1149"/>
      <c r="B16" s="1149"/>
      <c r="C16" s="1149"/>
      <c r="D16" s="1149"/>
      <c r="E16" s="1149"/>
      <c r="F16" s="1149"/>
      <c r="G16" s="1150"/>
      <c r="H16" s="1149"/>
      <c r="I16" s="1149"/>
      <c r="J16" s="1149"/>
      <c r="K16" s="1149"/>
    </row>
    <row r="17" spans="1:11" ht="15.75" thickBot="1">
      <c r="A17" s="1151"/>
      <c r="B17" s="1142"/>
      <c r="C17" s="268"/>
      <c r="D17" s="1142"/>
      <c r="E17" s="1142"/>
      <c r="F17" s="1142"/>
      <c r="G17" s="1152"/>
      <c r="H17" s="1142"/>
      <c r="I17" s="1142"/>
      <c r="J17" s="1142"/>
      <c r="K17" s="1142"/>
    </row>
    <row r="18" spans="1:11" ht="15">
      <c r="A18" s="1153" t="s">
        <v>406</v>
      </c>
      <c r="B18" s="1154"/>
      <c r="C18" s="269"/>
      <c r="D18" s="270"/>
      <c r="E18" s="271"/>
      <c r="F18" s="1154"/>
      <c r="G18" s="271"/>
      <c r="H18" s="272"/>
      <c r="I18" s="271"/>
      <c r="J18" s="1154"/>
      <c r="K18" s="271"/>
    </row>
    <row r="19" spans="1:11" ht="15">
      <c r="A19" s="1149" t="s">
        <v>776</v>
      </c>
      <c r="B19" s="273">
        <v>350.1</v>
      </c>
      <c r="C19" s="274">
        <v>1.66E-2</v>
      </c>
      <c r="D19" s="275">
        <v>0.66233529999999996</v>
      </c>
      <c r="E19" s="274">
        <f t="shared" ref="E19:E27" si="0">ROUND((C19*D19),6)</f>
        <v>1.0995E-2</v>
      </c>
      <c r="F19" s="1155"/>
      <c r="G19" s="274">
        <v>1.6199999999999999E-2</v>
      </c>
      <c r="H19" s="275">
        <v>0.33766470000000004</v>
      </c>
      <c r="I19" s="274">
        <f t="shared" ref="I19:I27" si="1">ROUND((G19*H19),6)</f>
        <v>5.47E-3</v>
      </c>
      <c r="J19" s="1155"/>
      <c r="K19" s="268">
        <f>ROUND(E19+I19,4)</f>
        <v>1.6500000000000001E-2</v>
      </c>
    </row>
    <row r="20" spans="1:11" ht="15">
      <c r="A20" s="1156" t="s">
        <v>407</v>
      </c>
      <c r="B20" s="273">
        <v>352</v>
      </c>
      <c r="C20" s="274">
        <v>1.77E-2</v>
      </c>
      <c r="D20" s="275">
        <v>0.66233529999999996</v>
      </c>
      <c r="E20" s="274">
        <f t="shared" si="0"/>
        <v>1.1723000000000001E-2</v>
      </c>
      <c r="F20" s="1155"/>
      <c r="G20" s="274">
        <v>1.7399999999999999E-2</v>
      </c>
      <c r="H20" s="275">
        <v>0.33766470000000004</v>
      </c>
      <c r="I20" s="274">
        <f t="shared" si="1"/>
        <v>5.875E-3</v>
      </c>
      <c r="J20" s="1155"/>
      <c r="K20" s="268">
        <f t="shared" ref="K20:K27" si="2">ROUND(E20+I20,4)</f>
        <v>1.7600000000000001E-2</v>
      </c>
    </row>
    <row r="21" spans="1:11" ht="15">
      <c r="A21" s="1156" t="s">
        <v>408</v>
      </c>
      <c r="B21" s="273">
        <v>353</v>
      </c>
      <c r="C21" s="274">
        <v>2.4299999999999999E-2</v>
      </c>
      <c r="D21" s="275">
        <v>0.66233529999999996</v>
      </c>
      <c r="E21" s="274">
        <f t="shared" si="0"/>
        <v>1.6095000000000002E-2</v>
      </c>
      <c r="F21" s="1155"/>
      <c r="G21" s="274">
        <v>2.41E-2</v>
      </c>
      <c r="H21" s="275">
        <v>0.33766470000000004</v>
      </c>
      <c r="I21" s="274">
        <f t="shared" si="1"/>
        <v>8.1379999999999994E-3</v>
      </c>
      <c r="J21" s="1155"/>
      <c r="K21" s="268">
        <f t="shared" si="2"/>
        <v>2.4199999999999999E-2</v>
      </c>
    </row>
    <row r="22" spans="1:11" ht="15">
      <c r="A22" s="1156" t="s">
        <v>409</v>
      </c>
      <c r="B22" s="273">
        <v>354</v>
      </c>
      <c r="C22" s="274">
        <v>2.5700000000000001E-2</v>
      </c>
      <c r="D22" s="275">
        <v>0.66233529999999996</v>
      </c>
      <c r="E22" s="274">
        <f t="shared" si="0"/>
        <v>1.7021999999999999E-2</v>
      </c>
      <c r="F22" s="1155"/>
      <c r="G22" s="274">
        <v>2.4500000000000001E-2</v>
      </c>
      <c r="H22" s="275">
        <v>0.33766470000000004</v>
      </c>
      <c r="I22" s="274">
        <f t="shared" si="1"/>
        <v>8.2730000000000008E-3</v>
      </c>
      <c r="J22" s="1155"/>
      <c r="K22" s="268">
        <f t="shared" si="2"/>
        <v>2.53E-2</v>
      </c>
    </row>
    <row r="23" spans="1:11" ht="15">
      <c r="A23" s="1156" t="s">
        <v>410</v>
      </c>
      <c r="B23" s="273">
        <v>355</v>
      </c>
      <c r="C23" s="274">
        <v>3.1899999999999998E-2</v>
      </c>
      <c r="D23" s="275">
        <v>0.66233529999999996</v>
      </c>
      <c r="E23" s="274">
        <f t="shared" si="0"/>
        <v>2.1128000000000001E-2</v>
      </c>
      <c r="F23" s="1155"/>
      <c r="G23" s="274">
        <v>3.1699999999999999E-2</v>
      </c>
      <c r="H23" s="275">
        <v>0.33766470000000004</v>
      </c>
      <c r="I23" s="274">
        <f t="shared" si="1"/>
        <v>1.0704E-2</v>
      </c>
      <c r="J23" s="1155"/>
      <c r="K23" s="268">
        <f t="shared" si="2"/>
        <v>3.1800000000000002E-2</v>
      </c>
    </row>
    <row r="24" spans="1:11" ht="15">
      <c r="A24" s="1156" t="s">
        <v>777</v>
      </c>
      <c r="B24" s="273">
        <v>356</v>
      </c>
      <c r="C24" s="274">
        <v>2.35E-2</v>
      </c>
      <c r="D24" s="275">
        <v>0.66233529999999996</v>
      </c>
      <c r="E24" s="274">
        <f t="shared" si="0"/>
        <v>1.5565000000000001E-2</v>
      </c>
      <c r="F24" s="1155"/>
      <c r="G24" s="274">
        <v>2.2800000000000001E-2</v>
      </c>
      <c r="H24" s="275">
        <v>0.33766470000000004</v>
      </c>
      <c r="I24" s="274">
        <f t="shared" si="1"/>
        <v>7.6990000000000001E-3</v>
      </c>
      <c r="J24" s="1155"/>
      <c r="K24" s="268">
        <f t="shared" si="2"/>
        <v>2.3300000000000001E-2</v>
      </c>
    </row>
    <row r="25" spans="1:11" ht="15">
      <c r="A25" s="1156" t="s">
        <v>411</v>
      </c>
      <c r="B25" s="273">
        <v>357</v>
      </c>
      <c r="C25" s="274">
        <v>2.3E-2</v>
      </c>
      <c r="D25" s="275">
        <v>0.66233529999999996</v>
      </c>
      <c r="E25" s="274">
        <f t="shared" si="0"/>
        <v>1.5233999999999999E-2</v>
      </c>
      <c r="F25" s="1155"/>
      <c r="G25" s="274">
        <v>2.2100000000000002E-2</v>
      </c>
      <c r="H25" s="275">
        <v>0.33766470000000004</v>
      </c>
      <c r="I25" s="274">
        <f t="shared" si="1"/>
        <v>7.4619999999999999E-3</v>
      </c>
      <c r="J25" s="1155"/>
      <c r="K25" s="268">
        <f t="shared" si="2"/>
        <v>2.2700000000000001E-2</v>
      </c>
    </row>
    <row r="26" spans="1:11" ht="15">
      <c r="A26" s="1156" t="s">
        <v>412</v>
      </c>
      <c r="B26" s="273">
        <v>358</v>
      </c>
      <c r="C26" s="274">
        <v>1.9300000000000001E-2</v>
      </c>
      <c r="D26" s="275">
        <v>0.66233529999999996</v>
      </c>
      <c r="E26" s="274">
        <f t="shared" si="0"/>
        <v>1.2782999999999999E-2</v>
      </c>
      <c r="F26" s="1155"/>
      <c r="G26" s="274">
        <v>1.9E-2</v>
      </c>
      <c r="H26" s="275">
        <v>0.33766470000000004</v>
      </c>
      <c r="I26" s="274">
        <f t="shared" si="1"/>
        <v>6.4159999999999998E-3</v>
      </c>
      <c r="J26" s="1155"/>
      <c r="K26" s="268">
        <f t="shared" si="2"/>
        <v>1.9199999999999998E-2</v>
      </c>
    </row>
    <row r="27" spans="1:11" ht="15">
      <c r="A27" s="1156" t="s">
        <v>778</v>
      </c>
      <c r="B27" s="273">
        <v>359</v>
      </c>
      <c r="C27" s="274">
        <v>1.61E-2</v>
      </c>
      <c r="D27" s="275">
        <v>0.66233529999999996</v>
      </c>
      <c r="E27" s="274">
        <f t="shared" si="0"/>
        <v>1.0664E-2</v>
      </c>
      <c r="F27" s="1155"/>
      <c r="G27" s="274">
        <v>1.5900000000000001E-2</v>
      </c>
      <c r="H27" s="275">
        <v>0.33766470000000004</v>
      </c>
      <c r="I27" s="274">
        <f t="shared" si="1"/>
        <v>5.3689999999999996E-3</v>
      </c>
      <c r="J27" s="1155"/>
      <c r="K27" s="268">
        <f t="shared" si="2"/>
        <v>1.6E-2</v>
      </c>
    </row>
    <row r="28" spans="1:11" ht="15">
      <c r="A28" s="1149"/>
      <c r="B28" s="1149"/>
      <c r="C28" s="1149"/>
      <c r="D28" s="1149"/>
      <c r="E28" s="1149"/>
      <c r="F28" s="1149"/>
      <c r="G28" s="1149"/>
      <c r="H28" s="1149"/>
      <c r="I28" s="1149"/>
      <c r="J28" s="1149"/>
      <c r="K28" s="1149"/>
    </row>
    <row r="29" spans="1:11" ht="15.75" thickBot="1">
      <c r="A29" s="1149"/>
      <c r="B29" s="1149"/>
      <c r="C29" s="1149"/>
      <c r="D29" s="1149"/>
      <c r="E29" s="1149"/>
      <c r="F29" s="1149"/>
      <c r="G29" s="1149"/>
      <c r="H29" s="1149"/>
      <c r="I29" s="1149"/>
      <c r="J29" s="1149"/>
      <c r="K29" s="1149"/>
    </row>
    <row r="30" spans="1:11" ht="15">
      <c r="A30" s="1359" t="s">
        <v>1257</v>
      </c>
      <c r="B30" s="1360"/>
      <c r="C30" s="1459"/>
      <c r="D30" s="1362"/>
      <c r="E30" s="1363"/>
      <c r="F30" s="1360"/>
      <c r="G30" s="1364"/>
      <c r="H30" s="1362"/>
      <c r="I30" s="1363"/>
      <c r="J30" s="1360"/>
      <c r="K30" s="1149"/>
    </row>
    <row r="31" spans="1:11" ht="15">
      <c r="A31" s="1460"/>
      <c r="B31" s="273">
        <v>390</v>
      </c>
      <c r="C31" s="274">
        <v>2.0799999999999999E-2</v>
      </c>
      <c r="D31" s="275">
        <v>0.68186831634107659</v>
      </c>
      <c r="E31" s="274">
        <f t="shared" ref="E31:E39" si="3">ROUND((C31*D31),6)</f>
        <v>1.4182999999999999E-2</v>
      </c>
      <c r="F31" s="1155"/>
      <c r="G31" s="274">
        <v>2.0799999999999999E-2</v>
      </c>
      <c r="H31" s="275">
        <v>0.31813168365892341</v>
      </c>
      <c r="I31" s="274">
        <f t="shared" ref="I31:I39" si="4">ROUND((G31*H31),6)</f>
        <v>6.6169999999999996E-3</v>
      </c>
      <c r="J31" s="1461"/>
      <c r="K31" s="268">
        <f t="shared" ref="K31:K39" si="5">ROUND(E31+I31,4)</f>
        <v>2.0799999999999999E-2</v>
      </c>
    </row>
    <row r="32" spans="1:11" ht="15">
      <c r="A32" s="1460"/>
      <c r="B32" s="273">
        <v>391</v>
      </c>
      <c r="C32" s="274">
        <v>4.7899999999999998E-2</v>
      </c>
      <c r="D32" s="275">
        <v>0.68186831634107659</v>
      </c>
      <c r="E32" s="274">
        <f t="shared" si="3"/>
        <v>3.2661000000000003E-2</v>
      </c>
      <c r="F32" s="1155"/>
      <c r="G32" s="274">
        <v>4.8399999999999999E-2</v>
      </c>
      <c r="H32" s="275">
        <v>0.31813168365892341</v>
      </c>
      <c r="I32" s="274">
        <f t="shared" si="4"/>
        <v>1.5398E-2</v>
      </c>
      <c r="J32" s="1461"/>
      <c r="K32" s="268">
        <f t="shared" si="5"/>
        <v>4.8099999999999997E-2</v>
      </c>
    </row>
    <row r="33" spans="1:11" ht="15">
      <c r="A33" s="1462" t="s">
        <v>1429</v>
      </c>
      <c r="B33" s="273">
        <v>392</v>
      </c>
      <c r="C33" s="274">
        <v>4.6399999999999997E-2</v>
      </c>
      <c r="D33" s="275">
        <v>0.68186831634107659</v>
      </c>
      <c r="E33" s="274">
        <f t="shared" si="3"/>
        <v>3.1639E-2</v>
      </c>
      <c r="F33" s="1155"/>
      <c r="G33" s="274">
        <v>4.6800000000000001E-2</v>
      </c>
      <c r="H33" s="275">
        <v>0.31813168365892341</v>
      </c>
      <c r="I33" s="274">
        <f t="shared" si="4"/>
        <v>1.4888999999999999E-2</v>
      </c>
      <c r="J33" s="1461"/>
      <c r="K33" s="268">
        <f t="shared" si="5"/>
        <v>4.65E-2</v>
      </c>
    </row>
    <row r="34" spans="1:11" ht="15">
      <c r="A34" s="1460"/>
      <c r="B34" s="273">
        <v>393</v>
      </c>
      <c r="C34" s="274">
        <v>7.3499999999999996E-2</v>
      </c>
      <c r="D34" s="275">
        <v>0.68186831634107659</v>
      </c>
      <c r="E34" s="274">
        <f t="shared" si="3"/>
        <v>5.0117000000000002E-2</v>
      </c>
      <c r="F34" s="1155"/>
      <c r="G34" s="274">
        <v>7.3800000000000004E-2</v>
      </c>
      <c r="H34" s="275">
        <v>0.31813168365892341</v>
      </c>
      <c r="I34" s="274">
        <f t="shared" si="4"/>
        <v>2.3477999999999999E-2</v>
      </c>
      <c r="J34" s="1461"/>
      <c r="K34" s="268">
        <f t="shared" si="5"/>
        <v>7.3599999999999999E-2</v>
      </c>
    </row>
    <row r="35" spans="1:11" ht="15">
      <c r="A35" s="1460"/>
      <c r="B35" s="273">
        <v>394</v>
      </c>
      <c r="C35" s="274">
        <v>6.9900000000000004E-2</v>
      </c>
      <c r="D35" s="275">
        <v>0.68186831634107659</v>
      </c>
      <c r="E35" s="274">
        <f t="shared" si="3"/>
        <v>4.7662999999999997E-2</v>
      </c>
      <c r="F35" s="1155"/>
      <c r="G35" s="274">
        <v>7.0699999999999999E-2</v>
      </c>
      <c r="H35" s="275">
        <v>0.31813168365892341</v>
      </c>
      <c r="I35" s="274">
        <f t="shared" si="4"/>
        <v>2.2492000000000002E-2</v>
      </c>
      <c r="J35" s="1461"/>
      <c r="K35" s="268">
        <f t="shared" si="5"/>
        <v>7.0199999999999999E-2</v>
      </c>
    </row>
    <row r="36" spans="1:11" ht="15">
      <c r="A36" s="1460"/>
      <c r="B36" s="273">
        <v>395</v>
      </c>
      <c r="C36" s="274">
        <v>5.4100000000000002E-2</v>
      </c>
      <c r="D36" s="275">
        <v>0.68186831634107659</v>
      </c>
      <c r="E36" s="274">
        <f t="shared" si="3"/>
        <v>3.6888999999999998E-2</v>
      </c>
      <c r="F36" s="1155"/>
      <c r="G36" s="274">
        <v>5.4600000000000003E-2</v>
      </c>
      <c r="H36" s="275">
        <v>0.31813168365892341</v>
      </c>
      <c r="I36" s="274">
        <f t="shared" si="4"/>
        <v>1.737E-2</v>
      </c>
      <c r="J36" s="1461"/>
      <c r="K36" s="268">
        <f t="shared" si="5"/>
        <v>5.4300000000000001E-2</v>
      </c>
    </row>
    <row r="37" spans="1:11" ht="15">
      <c r="A37" s="1460"/>
      <c r="B37" s="273">
        <v>396</v>
      </c>
      <c r="C37" s="274">
        <v>4.8099999999999997E-2</v>
      </c>
      <c r="D37" s="275">
        <v>0.68186831634107659</v>
      </c>
      <c r="E37" s="274">
        <f t="shared" si="3"/>
        <v>3.2798000000000001E-2</v>
      </c>
      <c r="F37" s="1155"/>
      <c r="G37" s="274">
        <v>4.9000000000000002E-2</v>
      </c>
      <c r="H37" s="275">
        <v>0.31813168365892341</v>
      </c>
      <c r="I37" s="274">
        <f t="shared" si="4"/>
        <v>1.5587999999999999E-2</v>
      </c>
      <c r="J37" s="1461"/>
      <c r="K37" s="268">
        <f t="shared" si="5"/>
        <v>4.8399999999999999E-2</v>
      </c>
    </row>
    <row r="38" spans="1:11" ht="15">
      <c r="A38" s="1460"/>
      <c r="B38" s="273">
        <v>397</v>
      </c>
      <c r="C38" s="274">
        <v>3.9100000000000003E-2</v>
      </c>
      <c r="D38" s="275">
        <v>0.68186831634107659</v>
      </c>
      <c r="E38" s="274">
        <f t="shared" si="3"/>
        <v>2.6661000000000001E-2</v>
      </c>
      <c r="F38" s="1155"/>
      <c r="G38" s="274">
        <v>3.9300000000000002E-2</v>
      </c>
      <c r="H38" s="275">
        <v>0.31813168365892341</v>
      </c>
      <c r="I38" s="274">
        <f t="shared" si="4"/>
        <v>1.2503E-2</v>
      </c>
      <c r="J38" s="1461"/>
      <c r="K38" s="268">
        <f t="shared" si="5"/>
        <v>3.9199999999999999E-2</v>
      </c>
    </row>
    <row r="39" spans="1:11" ht="15">
      <c r="A39" s="1460"/>
      <c r="B39" s="273">
        <v>398</v>
      </c>
      <c r="C39" s="274">
        <v>3.32E-2</v>
      </c>
      <c r="D39" s="275">
        <v>0.68186831634107659</v>
      </c>
      <c r="E39" s="274">
        <f t="shared" si="3"/>
        <v>2.2637999999999998E-2</v>
      </c>
      <c r="F39" s="1155"/>
      <c r="G39" s="274">
        <v>3.3500000000000002E-2</v>
      </c>
      <c r="H39" s="275">
        <v>0.31813168365892341</v>
      </c>
      <c r="I39" s="274">
        <f t="shared" si="4"/>
        <v>1.0657E-2</v>
      </c>
      <c r="J39" s="1461"/>
      <c r="K39" s="268">
        <f t="shared" si="5"/>
        <v>3.3300000000000003E-2</v>
      </c>
    </row>
    <row r="40" spans="1:11" ht="15.75" thickBot="1">
      <c r="A40" s="1365"/>
      <c r="B40" s="1366"/>
      <c r="C40" s="1367"/>
      <c r="D40" s="1368"/>
      <c r="E40" s="1369"/>
      <c r="F40" s="1366"/>
      <c r="G40" s="1369"/>
      <c r="H40" s="1368"/>
      <c r="I40" s="1369"/>
      <c r="J40" s="1366"/>
      <c r="K40" s="1149"/>
    </row>
    <row r="41" spans="1:11" ht="15">
      <c r="A41" s="1149"/>
      <c r="B41" s="1149"/>
      <c r="C41" s="1149"/>
      <c r="D41" s="1149"/>
      <c r="E41" s="1149"/>
      <c r="F41" s="1149"/>
      <c r="G41" s="1149"/>
      <c r="H41" s="1149"/>
      <c r="I41" s="1149"/>
      <c r="J41" s="1149"/>
      <c r="K41" s="1149"/>
    </row>
    <row r="42" spans="1:11" ht="15">
      <c r="A42" s="1149"/>
      <c r="B42" s="1149"/>
      <c r="C42" s="1149"/>
      <c r="D42" s="1149"/>
      <c r="E42" s="1149"/>
      <c r="F42" s="1149"/>
      <c r="G42" s="1149"/>
      <c r="H42" s="1149"/>
      <c r="I42" s="1149"/>
      <c r="J42" s="1149"/>
      <c r="K42" s="1149"/>
    </row>
    <row r="43" spans="1:11" ht="15">
      <c r="A43" s="1149"/>
      <c r="B43" s="1142"/>
      <c r="C43" s="268"/>
      <c r="D43" s="1149"/>
      <c r="E43" s="1149"/>
      <c r="F43" s="1149"/>
      <c r="G43" s="1150"/>
      <c r="H43" s="1149"/>
      <c r="I43" s="1149"/>
      <c r="J43" s="1149"/>
      <c r="K43" s="1149"/>
    </row>
    <row r="44" spans="1:11" ht="15.75">
      <c r="A44" s="1144" t="s">
        <v>1443</v>
      </c>
      <c r="B44" s="1157"/>
      <c r="C44" s="276"/>
      <c r="D44" s="1157"/>
      <c r="E44" s="1149"/>
      <c r="F44" s="1157"/>
      <c r="G44" s="1149"/>
      <c r="H44" s="1142"/>
      <c r="I44" s="1149"/>
      <c r="J44" s="1149"/>
      <c r="K44" s="1149"/>
    </row>
    <row r="45" spans="1:11" ht="15.75">
      <c r="A45" s="1144" t="s">
        <v>1444</v>
      </c>
      <c r="B45" s="1157"/>
      <c r="C45" s="276"/>
      <c r="D45" s="1157"/>
      <c r="E45" s="1157"/>
      <c r="F45" s="1157"/>
      <c r="G45" s="1149"/>
      <c r="H45" s="1142"/>
      <c r="I45" s="1149"/>
      <c r="J45" s="1149"/>
      <c r="K45" s="1149"/>
    </row>
    <row r="46" spans="1:11" ht="15.75">
      <c r="A46" s="1144" t="s">
        <v>1445</v>
      </c>
      <c r="B46" s="1157"/>
      <c r="C46" s="276"/>
      <c r="D46" s="1158"/>
      <c r="E46" s="1158"/>
      <c r="F46" s="1158"/>
      <c r="G46" s="1149"/>
      <c r="H46" s="1149"/>
      <c r="I46" s="1149"/>
      <c r="J46" s="1149"/>
      <c r="K46" s="1149"/>
    </row>
    <row r="47" spans="1:11" ht="15">
      <c r="A47" s="1585" t="s">
        <v>779</v>
      </c>
      <c r="B47" s="1586"/>
      <c r="C47" s="1586"/>
      <c r="D47" s="1586"/>
      <c r="E47" s="1586"/>
      <c r="F47" s="1586"/>
      <c r="G47" s="1586"/>
      <c r="H47" s="1586"/>
      <c r="I47" s="1586"/>
      <c r="J47" s="1586"/>
      <c r="K47" s="1149"/>
    </row>
    <row r="48" spans="1:11" ht="15">
      <c r="A48" s="1586"/>
      <c r="B48" s="1586"/>
      <c r="C48" s="1586"/>
      <c r="D48" s="1586"/>
      <c r="E48" s="1586"/>
      <c r="F48" s="1586"/>
      <c r="G48" s="1586"/>
      <c r="H48" s="1586"/>
      <c r="I48" s="1586"/>
      <c r="J48" s="1586"/>
      <c r="K48" s="1149"/>
    </row>
    <row r="49" spans="1:11" ht="18.75" customHeight="1">
      <c r="A49" s="1586"/>
      <c r="B49" s="1586"/>
      <c r="C49" s="1586"/>
      <c r="D49" s="1586"/>
      <c r="E49" s="1586"/>
      <c r="F49" s="1586"/>
      <c r="G49" s="1586"/>
      <c r="H49" s="1586"/>
      <c r="I49" s="1586"/>
      <c r="J49" s="1586"/>
      <c r="K49" s="1149"/>
    </row>
    <row r="50" spans="1:11" ht="15.75">
      <c r="A50" s="1149"/>
      <c r="B50" s="1157"/>
      <c r="C50" s="276"/>
      <c r="D50" s="1158"/>
      <c r="E50" s="1158"/>
      <c r="F50" s="1158"/>
      <c r="G50" s="1150"/>
      <c r="H50" s="1149"/>
      <c r="I50" s="1149"/>
      <c r="J50" s="1149"/>
      <c r="K50" s="1149"/>
    </row>
    <row r="51" spans="1:11" ht="15.75">
      <c r="A51" s="1159" t="s">
        <v>413</v>
      </c>
      <c r="B51" s="1142"/>
      <c r="C51" s="268"/>
      <c r="D51" s="1149"/>
      <c r="E51" s="1149"/>
      <c r="F51" s="1149"/>
      <c r="G51" s="1150"/>
      <c r="H51" s="1149"/>
      <c r="I51" s="1149"/>
      <c r="J51" s="1149"/>
      <c r="K51" s="1149"/>
    </row>
    <row r="52" spans="1:11" ht="15">
      <c r="A52" s="1160" t="s">
        <v>29</v>
      </c>
      <c r="B52" s="1161"/>
      <c r="C52" s="1161"/>
      <c r="D52" s="1162"/>
      <c r="E52" s="1149"/>
      <c r="F52" s="1149"/>
      <c r="G52" s="1150"/>
      <c r="H52" s="1149"/>
      <c r="I52" s="1149"/>
      <c r="J52" s="1149"/>
      <c r="K52" s="1149"/>
    </row>
    <row r="53" spans="1:11" ht="15">
      <c r="A53" s="1581" t="s">
        <v>780</v>
      </c>
      <c r="B53" s="1581"/>
      <c r="C53" s="1581"/>
      <c r="D53" s="1581"/>
      <c r="E53" s="1581"/>
      <c r="F53" s="1581"/>
      <c r="G53" s="1581"/>
      <c r="H53" s="1581"/>
      <c r="I53" s="1581"/>
      <c r="J53" s="1581"/>
      <c r="K53" s="1149"/>
    </row>
    <row r="54" spans="1:11" ht="15">
      <c r="A54" s="1581"/>
      <c r="B54" s="1581"/>
      <c r="C54" s="1581"/>
      <c r="D54" s="1581"/>
      <c r="E54" s="1581"/>
      <c r="F54" s="1581"/>
      <c r="G54" s="1581"/>
      <c r="H54" s="1581"/>
      <c r="I54" s="1581"/>
      <c r="J54" s="1581"/>
      <c r="K54" s="1149"/>
    </row>
    <row r="55" spans="1:11" ht="15">
      <c r="A55" s="1582" t="s">
        <v>828</v>
      </c>
      <c r="B55" s="1582"/>
      <c r="C55" s="1582"/>
      <c r="D55" s="1582"/>
      <c r="E55" s="1582"/>
      <c r="F55" s="1582"/>
      <c r="G55" s="1582"/>
      <c r="H55" s="1582"/>
      <c r="I55" s="1582"/>
      <c r="J55" s="1582"/>
      <c r="K55" s="1149"/>
    </row>
    <row r="56" spans="1:11" ht="15">
      <c r="A56" s="1582"/>
      <c r="B56" s="1582"/>
      <c r="C56" s="1582"/>
      <c r="D56" s="1582"/>
      <c r="E56" s="1582"/>
      <c r="F56" s="1582"/>
      <c r="G56" s="1582"/>
      <c r="H56" s="1582"/>
      <c r="I56" s="1582"/>
      <c r="J56" s="1582"/>
      <c r="K56" s="1149"/>
    </row>
    <row r="57" spans="1:11" ht="15">
      <c r="A57" s="1149"/>
      <c r="B57" s="1149"/>
      <c r="C57" s="1149"/>
      <c r="D57" s="1149"/>
      <c r="E57" s="1149"/>
      <c r="F57" s="1149"/>
      <c r="G57" s="1150"/>
      <c r="H57" s="1149"/>
      <c r="I57" s="1149"/>
      <c r="J57" s="1149"/>
      <c r="K57" s="1149"/>
    </row>
    <row r="58" spans="1:11" ht="15">
      <c r="A58" s="1149"/>
      <c r="B58" s="1149"/>
      <c r="C58" s="1149"/>
      <c r="D58" s="1149"/>
      <c r="E58" s="1149"/>
      <c r="F58" s="1149"/>
      <c r="G58" s="1150"/>
      <c r="H58" s="1149"/>
      <c r="I58" s="1149"/>
      <c r="J58" s="1149"/>
      <c r="K58" s="1149"/>
    </row>
    <row r="59" spans="1:11" ht="15">
      <c r="A59" s="1149"/>
      <c r="B59" s="1149"/>
      <c r="C59" s="1149"/>
      <c r="D59" s="1149"/>
      <c r="E59" s="1149"/>
      <c r="F59" s="1149"/>
      <c r="G59" s="1150"/>
      <c r="H59" s="1149"/>
      <c r="I59" s="1149"/>
      <c r="J59" s="1149"/>
      <c r="K59" s="1149"/>
    </row>
  </sheetData>
  <mergeCells count="13">
    <mergeCell ref="A53:J54"/>
    <mergeCell ref="A55:J56"/>
    <mergeCell ref="A9:K9"/>
    <mergeCell ref="A10:K10"/>
    <mergeCell ref="C11:E11"/>
    <mergeCell ref="G11:I11"/>
    <mergeCell ref="A47:J49"/>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I44" sqref="A30:I44"/>
    </sheetView>
  </sheetViews>
  <sheetFormatPr defaultColWidth="9.140625" defaultRowHeight="12.75"/>
  <cols>
    <col min="1" max="1" width="33.5703125" style="1141" customWidth="1"/>
    <col min="2" max="2" width="17.140625" style="1141" customWidth="1"/>
    <col min="3" max="3" width="23.42578125" style="1141" customWidth="1"/>
    <col min="4" max="4" width="9.140625" style="1141"/>
    <col min="5" max="5" width="21.85546875" style="1141" customWidth="1"/>
    <col min="6" max="16384" width="9.140625" style="1141"/>
  </cols>
  <sheetData>
    <row r="1" spans="1:7" s="777" customFormat="1" ht="15.75">
      <c r="A1" s="893" t="s">
        <v>114</v>
      </c>
      <c r="G1" s="274"/>
    </row>
    <row r="2" spans="1:7" s="777" customFormat="1" ht="15.75">
      <c r="A2" s="893" t="s">
        <v>114</v>
      </c>
      <c r="G2" s="274"/>
    </row>
    <row r="3" spans="1:7" ht="19.5">
      <c r="A3" s="1149"/>
      <c r="B3" s="1588" t="s">
        <v>391</v>
      </c>
      <c r="C3" s="1588"/>
      <c r="D3" s="1588"/>
      <c r="E3" s="1588"/>
    </row>
    <row r="4" spans="1:7" ht="19.5">
      <c r="A4" s="1149"/>
      <c r="B4" s="1588" t="s">
        <v>781</v>
      </c>
      <c r="C4" s="1588"/>
      <c r="D4" s="1588"/>
      <c r="E4" s="1588"/>
    </row>
    <row r="5" spans="1:7" ht="19.5">
      <c r="A5" s="1149"/>
      <c r="B5" s="1588" t="s">
        <v>782</v>
      </c>
      <c r="C5" s="1588"/>
      <c r="D5" s="1588"/>
      <c r="E5" s="1588"/>
    </row>
    <row r="6" spans="1:7" ht="19.5">
      <c r="A6" s="1149"/>
      <c r="B6" s="1588" t="s">
        <v>783</v>
      </c>
      <c r="C6" s="1588"/>
      <c r="D6" s="1588"/>
      <c r="E6" s="1588"/>
    </row>
    <row r="7" spans="1:7" ht="19.5">
      <c r="A7" s="1149"/>
      <c r="B7" s="1588" t="s">
        <v>784</v>
      </c>
      <c r="C7" s="1588"/>
      <c r="D7" s="1588"/>
      <c r="E7" s="1588"/>
    </row>
    <row r="8" spans="1:7" ht="19.5">
      <c r="A8" s="1149"/>
      <c r="B8" s="1588" t="s">
        <v>785</v>
      </c>
      <c r="C8" s="1588"/>
      <c r="D8" s="1588"/>
      <c r="E8" s="1588"/>
    </row>
    <row r="9" spans="1:7" ht="15">
      <c r="A9" s="1149"/>
      <c r="B9" s="1142"/>
      <c r="C9" s="1142"/>
      <c r="D9" s="1145" t="s">
        <v>114</v>
      </c>
      <c r="E9" s="1149"/>
    </row>
    <row r="10" spans="1:7" ht="15.75">
      <c r="A10" s="1142"/>
      <c r="B10" s="1163" t="s">
        <v>399</v>
      </c>
      <c r="C10" s="1149"/>
      <c r="D10" s="1149"/>
      <c r="E10" s="1164"/>
    </row>
    <row r="11" spans="1:7" ht="15.75">
      <c r="A11" s="1145"/>
      <c r="B11" s="1163" t="s">
        <v>403</v>
      </c>
      <c r="C11" s="1163" t="s">
        <v>404</v>
      </c>
      <c r="D11" s="1163"/>
      <c r="E11" s="1149"/>
    </row>
    <row r="12" spans="1:7" ht="15.75" thickBot="1">
      <c r="A12" s="1151"/>
      <c r="B12" s="1142"/>
      <c r="C12" s="1165" t="s">
        <v>499</v>
      </c>
      <c r="D12" s="1149"/>
      <c r="E12" s="1149"/>
    </row>
    <row r="13" spans="1:7" ht="15">
      <c r="A13" s="1153" t="s">
        <v>406</v>
      </c>
      <c r="B13" s="1154"/>
      <c r="C13" s="269"/>
      <c r="D13" s="1149"/>
      <c r="E13" s="1149"/>
    </row>
    <row r="14" spans="1:7" ht="15">
      <c r="A14" s="1149"/>
      <c r="B14" s="1166"/>
      <c r="C14" s="268"/>
      <c r="D14" s="1167"/>
      <c r="E14" s="1149"/>
    </row>
    <row r="15" spans="1:7" ht="15">
      <c r="A15" s="1149" t="s">
        <v>407</v>
      </c>
      <c r="B15" s="273">
        <v>352</v>
      </c>
      <c r="C15" s="268">
        <v>1.04E-2</v>
      </c>
      <c r="D15" s="1167"/>
      <c r="E15" s="1149"/>
    </row>
    <row r="16" spans="1:7" ht="15">
      <c r="A16" s="1149" t="s">
        <v>408</v>
      </c>
      <c r="B16" s="273">
        <v>353</v>
      </c>
      <c r="C16" s="268">
        <v>1.49E-2</v>
      </c>
      <c r="D16" s="1167"/>
      <c r="E16" s="1149"/>
    </row>
    <row r="17" spans="1:5" ht="15">
      <c r="A17" s="1149" t="s">
        <v>409</v>
      </c>
      <c r="B17" s="273">
        <v>354</v>
      </c>
      <c r="C17" s="268">
        <v>1.1999999999999999E-3</v>
      </c>
      <c r="D17" s="1167"/>
      <c r="E17" s="1149"/>
    </row>
    <row r="18" spans="1:5" ht="15">
      <c r="A18" s="1149" t="s">
        <v>410</v>
      </c>
      <c r="B18" s="273">
        <v>355</v>
      </c>
      <c r="C18" s="268">
        <v>2.1399999999999999E-2</v>
      </c>
      <c r="D18" s="1167"/>
      <c r="E18" s="1149"/>
    </row>
    <row r="19" spans="1:5" ht="15">
      <c r="A19" s="1149" t="s">
        <v>777</v>
      </c>
      <c r="B19" s="273">
        <v>356</v>
      </c>
      <c r="C19" s="268">
        <v>7.7000000000000002E-3</v>
      </c>
      <c r="D19" s="1167"/>
      <c r="E19" s="1149"/>
    </row>
    <row r="20" spans="1:5" ht="15">
      <c r="A20" s="1156" t="s">
        <v>411</v>
      </c>
      <c r="B20" s="273">
        <v>357</v>
      </c>
      <c r="C20" s="1168" t="s">
        <v>621</v>
      </c>
      <c r="D20" s="1149"/>
      <c r="E20" s="1149"/>
    </row>
    <row r="21" spans="1:5" ht="15">
      <c r="A21" s="1156" t="s">
        <v>412</v>
      </c>
      <c r="B21" s="273">
        <v>358</v>
      </c>
      <c r="C21" s="1168" t="s">
        <v>621</v>
      </c>
      <c r="D21" s="1167"/>
      <c r="E21" s="1149"/>
    </row>
    <row r="22" spans="1:5" ht="15.75">
      <c r="A22" s="1144" t="s">
        <v>786</v>
      </c>
      <c r="B22" s="1169"/>
      <c r="C22" s="1170">
        <v>1.46E-2</v>
      </c>
      <c r="D22" s="1167"/>
      <c r="E22" s="1149"/>
    </row>
    <row r="23" spans="1:5" ht="15.75">
      <c r="A23" s="1144"/>
      <c r="B23" s="1169"/>
      <c r="C23" s="1170"/>
      <c r="D23" s="1167"/>
      <c r="E23" s="1149"/>
    </row>
    <row r="24" spans="1:5" s="3" customFormat="1" ht="15.75">
      <c r="A24" s="1177" t="s">
        <v>812</v>
      </c>
      <c r="C24" s="1"/>
    </row>
    <row r="25" spans="1:5" s="3" customFormat="1">
      <c r="C25" s="1"/>
    </row>
    <row r="26" spans="1:5" s="3" customFormat="1" ht="15">
      <c r="A26" s="1178" t="s">
        <v>813</v>
      </c>
      <c r="B26" s="1182">
        <v>390</v>
      </c>
      <c r="C26" s="1181">
        <v>1.7100000000000001E-2</v>
      </c>
    </row>
    <row r="27" spans="1:5" s="3" customFormat="1" ht="15">
      <c r="A27" s="1178" t="s">
        <v>814</v>
      </c>
      <c r="B27" s="1182">
        <v>391</v>
      </c>
      <c r="C27" s="1181">
        <v>2.8199999999999999E-2</v>
      </c>
    </row>
    <row r="28" spans="1:5" s="3" customFormat="1" ht="15">
      <c r="A28" s="1178" t="s">
        <v>815</v>
      </c>
      <c r="B28" s="1182">
        <v>393</v>
      </c>
      <c r="C28" s="1181">
        <v>2.2200000000000001E-2</v>
      </c>
    </row>
    <row r="29" spans="1:5" s="3" customFormat="1" ht="15">
      <c r="A29" s="1178" t="s">
        <v>816</v>
      </c>
      <c r="B29" s="1182">
        <v>394</v>
      </c>
      <c r="C29" s="1181">
        <v>3.1199999999999999E-2</v>
      </c>
    </row>
    <row r="30" spans="1:5" s="3" customFormat="1" ht="15">
      <c r="A30" s="1178" t="s">
        <v>817</v>
      </c>
      <c r="B30" s="1182">
        <v>395</v>
      </c>
      <c r="C30" s="1181">
        <v>3.1699999999999999E-2</v>
      </c>
    </row>
    <row r="31" spans="1:5" s="3" customFormat="1" ht="15">
      <c r="A31" s="1178" t="s">
        <v>818</v>
      </c>
      <c r="B31" s="1182">
        <v>397</v>
      </c>
      <c r="C31" s="1181">
        <v>3.32E-2</v>
      </c>
    </row>
    <row r="32" spans="1:5" s="3" customFormat="1" ht="15">
      <c r="A32" s="1178" t="s">
        <v>819</v>
      </c>
      <c r="B32" s="1182">
        <v>398</v>
      </c>
      <c r="C32" s="1181">
        <v>4.9200000000000001E-2</v>
      </c>
    </row>
    <row r="33" spans="1:5" s="3" customFormat="1" ht="15">
      <c r="A33" s="38"/>
      <c r="B33" s="1178"/>
      <c r="C33" s="1181"/>
    </row>
    <row r="34" spans="1:5" s="3" customFormat="1" ht="15.75">
      <c r="A34" s="38"/>
      <c r="B34" s="1180" t="s">
        <v>820</v>
      </c>
      <c r="C34" s="1181">
        <v>3.2500000000000001E-2</v>
      </c>
    </row>
    <row r="35" spans="1:5" s="3" customFormat="1" ht="15.75">
      <c r="A35" s="38"/>
      <c r="B35" s="1180"/>
      <c r="C35" s="1179"/>
    </row>
    <row r="36" spans="1:5" ht="15.75">
      <c r="A36" s="1149" t="s">
        <v>787</v>
      </c>
      <c r="B36" s="1157"/>
      <c r="C36" s="276"/>
      <c r="D36" s="1149"/>
      <c r="E36" s="1149"/>
    </row>
    <row r="37" spans="1:5" ht="15">
      <c r="A37" s="1589"/>
      <c r="B37" s="1589"/>
      <c r="C37" s="1589"/>
      <c r="D37" s="1589"/>
      <c r="E37" s="1149"/>
    </row>
    <row r="38" spans="1:5" ht="15">
      <c r="A38" s="1589" t="s">
        <v>788</v>
      </c>
      <c r="B38" s="1589"/>
      <c r="C38" s="1589"/>
      <c r="D38" s="1589"/>
      <c r="E38" s="1149"/>
    </row>
    <row r="39" spans="1:5" ht="15">
      <c r="A39" s="1171" t="s">
        <v>158</v>
      </c>
      <c r="B39" s="1171"/>
      <c r="C39" s="1171"/>
      <c r="D39" s="1171"/>
      <c r="E39" s="1149"/>
    </row>
    <row r="40" spans="1:5" ht="15">
      <c r="A40" s="1589" t="s">
        <v>789</v>
      </c>
      <c r="B40" s="1589"/>
      <c r="C40" s="1589"/>
      <c r="D40" s="1149"/>
      <c r="E40" s="1149"/>
    </row>
    <row r="41" spans="1:5" ht="15">
      <c r="A41" s="1589"/>
      <c r="B41" s="1589"/>
      <c r="C41" s="1589"/>
      <c r="D41" s="1149"/>
      <c r="E41" s="1149"/>
    </row>
    <row r="42" spans="1:5" ht="15">
      <c r="A42" s="1149"/>
      <c r="B42" s="1142"/>
      <c r="C42" s="268"/>
      <c r="D42" s="1149"/>
      <c r="E42" s="1149"/>
    </row>
    <row r="43" spans="1:5" ht="15">
      <c r="A43" s="1589"/>
      <c r="B43" s="1589"/>
      <c r="C43" s="1589"/>
      <c r="D43" s="1589"/>
      <c r="E43" s="1149"/>
    </row>
    <row r="44" spans="1:5" ht="15.75">
      <c r="A44" s="1159" t="s">
        <v>790</v>
      </c>
      <c r="B44" s="1142"/>
      <c r="C44" s="268"/>
      <c r="D44" s="1149"/>
      <c r="E44" s="1149"/>
    </row>
    <row r="45" spans="1:5" ht="15">
      <c r="A45" s="1587" t="s">
        <v>828</v>
      </c>
      <c r="B45" s="1587"/>
      <c r="C45" s="1587"/>
      <c r="D45" s="1164"/>
      <c r="E45" s="1149"/>
    </row>
    <row r="46" spans="1:5" ht="15">
      <c r="A46" s="1587"/>
      <c r="B46" s="1587"/>
      <c r="C46" s="1587"/>
      <c r="D46" s="1164"/>
      <c r="E46" s="1149"/>
    </row>
    <row r="47" spans="1:5" ht="15">
      <c r="A47" s="1587"/>
      <c r="B47" s="1587"/>
      <c r="C47" s="1587"/>
      <c r="D47" s="1164"/>
      <c r="E47" s="1149"/>
    </row>
    <row r="48" spans="1:5" ht="15">
      <c r="A48" s="1587"/>
      <c r="B48" s="1587"/>
      <c r="C48" s="1587"/>
      <c r="D48" s="1164"/>
      <c r="E48" s="1149"/>
    </row>
    <row r="49" spans="1:5" ht="15">
      <c r="A49" s="1587"/>
      <c r="B49" s="1587"/>
      <c r="C49" s="1587"/>
      <c r="D49" s="1164"/>
      <c r="E49" s="1149"/>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 sqref="A3"/>
    </sheetView>
  </sheetViews>
  <sheetFormatPr defaultColWidth="9.140625" defaultRowHeight="12.75"/>
  <cols>
    <col min="1" max="1" width="9.140625" style="1141"/>
    <col min="2" max="2" width="38.5703125" style="1141" customWidth="1"/>
    <col min="3" max="3" width="21.85546875" style="1141" customWidth="1"/>
    <col min="4" max="4" width="25.85546875" style="1141" customWidth="1"/>
    <col min="5" max="16384" width="9.140625" style="1141"/>
  </cols>
  <sheetData>
    <row r="1" spans="1:7" s="777" customFormat="1" ht="15.75">
      <c r="A1" s="893" t="s">
        <v>114</v>
      </c>
      <c r="G1" s="274"/>
    </row>
    <row r="2" spans="1:7" s="777" customFormat="1" ht="15.75">
      <c r="A2" s="893" t="s">
        <v>114</v>
      </c>
      <c r="G2" s="274"/>
    </row>
    <row r="3" spans="1:7" ht="19.5">
      <c r="A3" s="1149"/>
      <c r="B3" s="1588" t="s">
        <v>391</v>
      </c>
      <c r="C3" s="1588"/>
      <c r="D3" s="1588"/>
      <c r="E3" s="1588"/>
    </row>
    <row r="4" spans="1:7" ht="19.5">
      <c r="A4" s="1149"/>
      <c r="B4" s="1588" t="s">
        <v>781</v>
      </c>
      <c r="C4" s="1588"/>
      <c r="D4" s="1588"/>
      <c r="E4" s="1588"/>
    </row>
    <row r="5" spans="1:7" ht="19.5">
      <c r="A5" s="1149"/>
      <c r="B5" s="1588" t="s">
        <v>782</v>
      </c>
      <c r="C5" s="1588"/>
      <c r="D5" s="1588"/>
      <c r="E5" s="1588"/>
    </row>
    <row r="6" spans="1:7" ht="19.5">
      <c r="A6" s="1149"/>
      <c r="B6" s="1588" t="s">
        <v>791</v>
      </c>
      <c r="C6" s="1588"/>
      <c r="D6" s="1588"/>
      <c r="E6" s="1588"/>
    </row>
    <row r="7" spans="1:7" ht="19.5">
      <c r="A7" s="1149"/>
      <c r="B7" s="1588" t="s">
        <v>784</v>
      </c>
      <c r="C7" s="1588"/>
      <c r="D7" s="1588"/>
      <c r="E7" s="1588"/>
    </row>
    <row r="8" spans="1:7" ht="19.5">
      <c r="A8" s="1149"/>
      <c r="B8" s="1588" t="s">
        <v>792</v>
      </c>
      <c r="C8" s="1588"/>
      <c r="D8" s="1588"/>
      <c r="E8" s="1588"/>
    </row>
    <row r="9" spans="1:7" ht="15">
      <c r="A9" s="1149"/>
      <c r="B9" s="1142"/>
      <c r="C9" s="1142"/>
      <c r="D9" s="1145" t="s">
        <v>114</v>
      </c>
      <c r="E9" s="1149"/>
    </row>
    <row r="10" spans="1:7" ht="15.75">
      <c r="A10" s="1149"/>
      <c r="B10" s="1142"/>
      <c r="C10" s="1163" t="s">
        <v>399</v>
      </c>
      <c r="D10" s="1149"/>
      <c r="E10" s="1149"/>
    </row>
    <row r="11" spans="1:7" ht="15.75">
      <c r="A11" s="1149"/>
      <c r="B11" s="1145"/>
      <c r="C11" s="1163" t="s">
        <v>403</v>
      </c>
      <c r="D11" s="1163" t="s">
        <v>404</v>
      </c>
      <c r="E11" s="1163"/>
    </row>
    <row r="12" spans="1:7" ht="15.75" thickBot="1">
      <c r="A12" s="1149"/>
      <c r="B12" s="1151"/>
      <c r="C12" s="1142"/>
      <c r="D12" s="1165" t="s">
        <v>499</v>
      </c>
      <c r="E12" s="1149"/>
    </row>
    <row r="13" spans="1:7" ht="15">
      <c r="A13" s="1149"/>
      <c r="B13" s="1153" t="s">
        <v>406</v>
      </c>
      <c r="C13" s="1154"/>
      <c r="D13" s="269"/>
      <c r="E13" s="1149"/>
    </row>
    <row r="14" spans="1:7" ht="15">
      <c r="A14" s="1149"/>
      <c r="B14" s="1149"/>
      <c r="C14" s="1166"/>
      <c r="D14" s="268"/>
      <c r="E14" s="1167"/>
    </row>
    <row r="15" spans="1:7" ht="15">
      <c r="A15" s="1149"/>
      <c r="B15" s="1149" t="s">
        <v>793</v>
      </c>
      <c r="C15" s="1156">
        <v>350.1</v>
      </c>
      <c r="D15" s="268">
        <v>1.44E-2</v>
      </c>
      <c r="E15" s="1167"/>
    </row>
    <row r="16" spans="1:7" ht="15">
      <c r="A16" s="1149"/>
      <c r="B16" s="1149" t="s">
        <v>407</v>
      </c>
      <c r="C16" s="273">
        <v>352</v>
      </c>
      <c r="D16" s="268">
        <v>2.0799999999999999E-2</v>
      </c>
      <c r="E16" s="1167"/>
    </row>
    <row r="17" spans="1:5" ht="15">
      <c r="A17" s="1149"/>
      <c r="B17" s="1149" t="s">
        <v>408</v>
      </c>
      <c r="C17" s="273">
        <v>353</v>
      </c>
      <c r="D17" s="268">
        <v>2.1499999999999998E-2</v>
      </c>
      <c r="E17" s="1167"/>
    </row>
    <row r="18" spans="1:5" ht="15">
      <c r="A18" s="1149"/>
      <c r="B18" s="1149" t="s">
        <v>409</v>
      </c>
      <c r="C18" s="273">
        <v>354</v>
      </c>
      <c r="D18" s="268">
        <v>2.6100000000000002E-2</v>
      </c>
      <c r="E18" s="1167"/>
    </row>
    <row r="19" spans="1:5" ht="15">
      <c r="A19" s="1149"/>
      <c r="B19" s="1149" t="s">
        <v>410</v>
      </c>
      <c r="C19" s="273">
        <v>355</v>
      </c>
      <c r="D19" s="268">
        <v>3.95E-2</v>
      </c>
      <c r="E19" s="1167"/>
    </row>
    <row r="20" spans="1:5" ht="15">
      <c r="A20" s="1149"/>
      <c r="B20" s="1149" t="s">
        <v>777</v>
      </c>
      <c r="C20" s="273">
        <v>356</v>
      </c>
      <c r="D20" s="268">
        <v>2.9100000000000001E-2</v>
      </c>
      <c r="E20" s="1167"/>
    </row>
    <row r="21" spans="1:5" ht="15">
      <c r="A21" s="1149"/>
      <c r="B21" s="1149" t="s">
        <v>411</v>
      </c>
      <c r="C21" s="273">
        <v>357</v>
      </c>
      <c r="D21" s="268">
        <v>2.9899999999999999E-2</v>
      </c>
      <c r="E21" s="1167"/>
    </row>
    <row r="22" spans="1:5" ht="15">
      <c r="A22" s="1149"/>
      <c r="B22" s="1149" t="s">
        <v>412</v>
      </c>
      <c r="C22" s="273">
        <v>358</v>
      </c>
      <c r="D22" s="268">
        <v>2.6200000000000001E-2</v>
      </c>
      <c r="E22" s="1167"/>
    </row>
    <row r="23" spans="1:5" ht="15">
      <c r="A23" s="1149"/>
      <c r="B23" s="1149"/>
      <c r="C23" s="1142"/>
      <c r="D23" s="268"/>
      <c r="E23" s="1149"/>
    </row>
    <row r="24" spans="1:5" ht="15.75">
      <c r="A24" s="1149"/>
      <c r="B24" s="1149" t="s">
        <v>787</v>
      </c>
      <c r="C24" s="1157"/>
      <c r="D24" s="276"/>
      <c r="E24" s="1149"/>
    </row>
    <row r="25" spans="1:5" ht="15">
      <c r="A25" s="1149"/>
      <c r="B25" s="1589"/>
      <c r="C25" s="1589"/>
      <c r="D25" s="1589"/>
      <c r="E25" s="1589"/>
    </row>
    <row r="26" spans="1:5" ht="15">
      <c r="A26" s="1149"/>
      <c r="B26" s="1589" t="s">
        <v>794</v>
      </c>
      <c r="C26" s="1589"/>
      <c r="D26" s="1589"/>
      <c r="E26" s="1589"/>
    </row>
    <row r="27" spans="1:5" ht="15">
      <c r="A27" s="1149"/>
      <c r="B27" s="1589"/>
      <c r="C27" s="1589"/>
      <c r="D27" s="1589"/>
      <c r="E27" s="1589"/>
    </row>
    <row r="28" spans="1:5" ht="15.75">
      <c r="A28" s="1149"/>
      <c r="B28" s="1159" t="s">
        <v>790</v>
      </c>
      <c r="C28" s="1142"/>
      <c r="D28" s="268"/>
      <c r="E28" s="1149"/>
    </row>
    <row r="29" spans="1:5" ht="15">
      <c r="A29" s="1149"/>
      <c r="B29" s="1587" t="s">
        <v>828</v>
      </c>
      <c r="C29" s="1587"/>
      <c r="D29" s="1587"/>
      <c r="E29" s="1164"/>
    </row>
    <row r="30" spans="1:5" ht="15">
      <c r="A30" s="1149"/>
      <c r="B30" s="1587"/>
      <c r="C30" s="1587"/>
      <c r="D30" s="1587"/>
      <c r="E30" s="1164"/>
    </row>
    <row r="31" spans="1:5" ht="15">
      <c r="A31" s="1149"/>
      <c r="B31" s="1587"/>
      <c r="C31" s="1587"/>
      <c r="D31" s="1587"/>
      <c r="E31" s="1164"/>
    </row>
    <row r="32" spans="1:5" ht="15">
      <c r="A32" s="1149"/>
      <c r="B32" s="1587"/>
      <c r="C32" s="1587"/>
      <c r="D32" s="1587"/>
      <c r="E32" s="1164"/>
    </row>
    <row r="33" spans="1:5" ht="15">
      <c r="A33" s="1149"/>
      <c r="B33" s="1587"/>
      <c r="C33" s="1587"/>
      <c r="D33" s="1587"/>
      <c r="E33" s="1164"/>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A7" sqref="A7:D7"/>
    </sheetView>
  </sheetViews>
  <sheetFormatPr defaultColWidth="9.140625" defaultRowHeight="12.75"/>
  <cols>
    <col min="1" max="1" width="38.85546875" style="1141" customWidth="1"/>
    <col min="2" max="2" width="28.42578125" style="1141" customWidth="1"/>
    <col min="3" max="3" width="23.140625" style="1141" customWidth="1"/>
    <col min="4" max="16384" width="9.140625" style="1141"/>
  </cols>
  <sheetData>
    <row r="1" spans="1:7" s="777" customFormat="1" ht="15.75">
      <c r="A1" s="893" t="s">
        <v>114</v>
      </c>
      <c r="G1" s="274"/>
    </row>
    <row r="2" spans="1:7" s="777" customFormat="1" ht="15.75">
      <c r="A2" s="893" t="s">
        <v>114</v>
      </c>
      <c r="G2" s="274"/>
    </row>
    <row r="3" spans="1:7" ht="19.5">
      <c r="A3" s="1588" t="s">
        <v>391</v>
      </c>
      <c r="B3" s="1588"/>
      <c r="C3" s="1588"/>
      <c r="D3" s="1588"/>
    </row>
    <row r="4" spans="1:7" ht="19.5">
      <c r="A4" s="1588" t="s">
        <v>781</v>
      </c>
      <c r="B4" s="1588"/>
      <c r="C4" s="1588"/>
      <c r="D4" s="1588"/>
    </row>
    <row r="5" spans="1:7" ht="19.5">
      <c r="A5" s="1588" t="s">
        <v>782</v>
      </c>
      <c r="B5" s="1588"/>
      <c r="C5" s="1588"/>
      <c r="D5" s="1588"/>
    </row>
    <row r="6" spans="1:7" ht="19.5">
      <c r="A6" s="1588" t="s">
        <v>1359</v>
      </c>
      <c r="B6" s="1588"/>
      <c r="C6" s="1588"/>
      <c r="D6" s="1588"/>
    </row>
    <row r="7" spans="1:7" ht="19.5">
      <c r="A7" s="1588" t="s">
        <v>784</v>
      </c>
      <c r="B7" s="1588"/>
      <c r="C7" s="1588"/>
      <c r="D7" s="1588"/>
    </row>
    <row r="8" spans="1:7" ht="19.5">
      <c r="A8" s="1588" t="s">
        <v>795</v>
      </c>
      <c r="B8" s="1588"/>
      <c r="C8" s="1588"/>
      <c r="D8" s="1588"/>
    </row>
    <row r="9" spans="1:7" ht="15">
      <c r="A9" s="1142"/>
      <c r="B9" s="1142"/>
      <c r="C9" s="1145" t="s">
        <v>114</v>
      </c>
      <c r="D9" s="1149"/>
    </row>
    <row r="10" spans="1:7" ht="15.75">
      <c r="A10" s="1142"/>
      <c r="B10" s="1163" t="s">
        <v>399</v>
      </c>
      <c r="C10" s="1149"/>
      <c r="D10" s="1149"/>
    </row>
    <row r="11" spans="1:7" ht="15.75">
      <c r="A11" s="1145"/>
      <c r="B11" s="1163" t="s">
        <v>403</v>
      </c>
      <c r="C11" s="1163" t="s">
        <v>404</v>
      </c>
      <c r="D11" s="1163"/>
    </row>
    <row r="12" spans="1:7" ht="15.75" thickBot="1">
      <c r="A12" s="1151"/>
      <c r="B12" s="1142"/>
      <c r="C12" s="1165" t="s">
        <v>499</v>
      </c>
      <c r="D12" s="1149"/>
    </row>
    <row r="13" spans="1:7" ht="15">
      <c r="A13" s="1153" t="s">
        <v>406</v>
      </c>
      <c r="B13" s="1154"/>
      <c r="C13" s="269"/>
      <c r="D13" s="1149"/>
    </row>
    <row r="14" spans="1:7" ht="15">
      <c r="A14" s="1156" t="s">
        <v>407</v>
      </c>
      <c r="B14" s="273">
        <v>352</v>
      </c>
      <c r="C14" s="268">
        <v>2.0199999999999999E-2</v>
      </c>
      <c r="D14" s="1167"/>
    </row>
    <row r="15" spans="1:7" ht="15">
      <c r="A15" s="1156" t="s">
        <v>408</v>
      </c>
      <c r="B15" s="273">
        <v>353</v>
      </c>
      <c r="C15" s="268">
        <v>2.29E-2</v>
      </c>
      <c r="D15" s="1167"/>
    </row>
    <row r="16" spans="1:7" ht="15">
      <c r="A16" s="1166"/>
      <c r="B16" s="273"/>
      <c r="C16" s="268"/>
      <c r="D16" s="1167"/>
    </row>
    <row r="17" spans="1:4" ht="15">
      <c r="A17" s="1156" t="s">
        <v>796</v>
      </c>
      <c r="B17" s="273">
        <v>354</v>
      </c>
      <c r="C17" s="268">
        <v>1.8800000000000001E-2</v>
      </c>
      <c r="D17" s="1167"/>
    </row>
    <row r="18" spans="1:4" ht="15">
      <c r="A18" s="1156" t="s">
        <v>797</v>
      </c>
      <c r="B18" s="273">
        <v>354</v>
      </c>
      <c r="C18" s="268">
        <v>1.8800000000000001E-2</v>
      </c>
      <c r="D18" s="1167"/>
    </row>
    <row r="19" spans="1:4" ht="15">
      <c r="A19" s="1172"/>
      <c r="B19" s="1173"/>
      <c r="C19" s="310"/>
      <c r="D19" s="1167"/>
    </row>
    <row r="20" spans="1:4" ht="15">
      <c r="A20" s="1156" t="s">
        <v>798</v>
      </c>
      <c r="B20" s="273">
        <v>355</v>
      </c>
      <c r="C20" s="268">
        <v>3.5200000000000002E-2</v>
      </c>
      <c r="D20" s="1167"/>
    </row>
    <row r="21" spans="1:4" ht="15">
      <c r="A21" s="1156" t="s">
        <v>799</v>
      </c>
      <c r="B21" s="273">
        <v>355</v>
      </c>
      <c r="C21" s="268">
        <v>3.5200000000000002E-2</v>
      </c>
      <c r="D21" s="1167"/>
    </row>
    <row r="22" spans="1:4" ht="15">
      <c r="A22" s="1172"/>
      <c r="B22" s="273"/>
      <c r="C22" s="268"/>
      <c r="D22" s="1167"/>
    </row>
    <row r="23" spans="1:4" ht="15">
      <c r="A23" s="1156" t="s">
        <v>800</v>
      </c>
      <c r="B23" s="273">
        <v>356</v>
      </c>
      <c r="C23" s="268">
        <v>1.9099999999999999E-2</v>
      </c>
      <c r="D23" s="1167"/>
    </row>
    <row r="24" spans="1:4" ht="15">
      <c r="A24" s="1156" t="s">
        <v>801</v>
      </c>
      <c r="B24" s="273">
        <v>356</v>
      </c>
      <c r="C24" s="268">
        <v>1.9099999999999999E-2</v>
      </c>
      <c r="D24" s="1167"/>
    </row>
    <row r="25" spans="1:4" ht="15">
      <c r="A25" s="1156" t="s">
        <v>802</v>
      </c>
      <c r="B25" s="273">
        <v>356</v>
      </c>
      <c r="C25" s="268">
        <v>1.9099999999999999E-2</v>
      </c>
      <c r="D25" s="1167"/>
    </row>
    <row r="26" spans="1:4" ht="15">
      <c r="A26" s="1156" t="s">
        <v>803</v>
      </c>
      <c r="B26" s="273">
        <v>356</v>
      </c>
      <c r="C26" s="268">
        <v>1.9099999999999999E-2</v>
      </c>
      <c r="D26" s="1167"/>
    </row>
    <row r="27" spans="1:4" ht="15">
      <c r="A27" s="1156" t="s">
        <v>804</v>
      </c>
      <c r="B27" s="273">
        <v>356</v>
      </c>
      <c r="C27" s="268">
        <v>1.9099999999999999E-2</v>
      </c>
      <c r="D27" s="1167"/>
    </row>
    <row r="28" spans="1:4" ht="15">
      <c r="A28" s="1156"/>
      <c r="B28" s="273"/>
      <c r="C28" s="268"/>
      <c r="D28" s="1167"/>
    </row>
    <row r="29" spans="1:4" ht="15">
      <c r="A29" s="1156" t="s">
        <v>411</v>
      </c>
      <c r="B29" s="273">
        <v>357</v>
      </c>
      <c r="C29" s="268">
        <v>2.2599999999999999E-2</v>
      </c>
      <c r="D29" s="1167"/>
    </row>
    <row r="30" spans="1:4" ht="15">
      <c r="A30" s="1156" t="s">
        <v>412</v>
      </c>
      <c r="B30" s="273">
        <v>358</v>
      </c>
      <c r="C30" s="268">
        <v>3.27E-2</v>
      </c>
      <c r="D30" s="1167"/>
    </row>
    <row r="31" spans="1:4" ht="15">
      <c r="A31" s="1166"/>
      <c r="B31" s="1155"/>
      <c r="C31" s="310"/>
      <c r="D31" s="1149"/>
    </row>
    <row r="32" spans="1:4" ht="15.75" thickBot="1">
      <c r="A32" s="1174"/>
      <c r="B32" s="1175"/>
      <c r="C32" s="1176"/>
      <c r="D32" s="1149"/>
    </row>
    <row r="33" spans="1:4" ht="15">
      <c r="A33" s="1151"/>
      <c r="B33" s="1142"/>
      <c r="C33" s="268"/>
      <c r="D33" s="1149"/>
    </row>
    <row r="34" spans="1:4" ht="15">
      <c r="A34" s="1149"/>
      <c r="B34" s="1142"/>
      <c r="C34" s="268"/>
      <c r="D34" s="1149"/>
    </row>
    <row r="35" spans="1:4" ht="15.75">
      <c r="A35" s="1149" t="s">
        <v>787</v>
      </c>
      <c r="B35" s="1157"/>
      <c r="C35" s="276"/>
      <c r="D35" s="1149"/>
    </row>
    <row r="36" spans="1:4" ht="15">
      <c r="A36" s="1149"/>
      <c r="B36" s="1149"/>
      <c r="C36" s="1149"/>
      <c r="D36" s="1149"/>
    </row>
    <row r="37" spans="1:4" ht="15">
      <c r="A37" s="1589" t="s">
        <v>805</v>
      </c>
      <c r="B37" s="1589"/>
      <c r="C37" s="1589"/>
      <c r="D37" s="1589"/>
    </row>
    <row r="38" spans="1:4" ht="15">
      <c r="A38" s="1149" t="s">
        <v>806</v>
      </c>
      <c r="B38" s="1149"/>
      <c r="C38" s="1149"/>
      <c r="D38" s="1149"/>
    </row>
    <row r="39" spans="1:4" ht="15">
      <c r="A39" s="1149" t="s">
        <v>807</v>
      </c>
      <c r="B39" s="1149"/>
      <c r="C39" s="1149"/>
      <c r="D39" s="1149"/>
    </row>
    <row r="40" spans="1:4" ht="15">
      <c r="A40" s="1149"/>
      <c r="B40" s="1149"/>
      <c r="C40" s="1149"/>
      <c r="D40" s="1149"/>
    </row>
    <row r="41" spans="1:4" ht="15.75">
      <c r="A41" s="1159" t="s">
        <v>808</v>
      </c>
      <c r="B41" s="1142"/>
      <c r="C41" s="268"/>
      <c r="D41" s="1149"/>
    </row>
    <row r="42" spans="1:4">
      <c r="A42" s="1587" t="s">
        <v>828</v>
      </c>
      <c r="B42" s="1587"/>
      <c r="C42" s="1587"/>
      <c r="D42" s="1164"/>
    </row>
    <row r="43" spans="1:4">
      <c r="A43" s="1587"/>
      <c r="B43" s="1587"/>
      <c r="C43" s="1587"/>
      <c r="D43" s="1164"/>
    </row>
    <row r="44" spans="1:4">
      <c r="A44" s="1587"/>
      <c r="B44" s="1587"/>
      <c r="C44" s="1587"/>
      <c r="D44" s="1164"/>
    </row>
    <row r="45" spans="1:4">
      <c r="A45" s="1587"/>
      <c r="B45" s="1587"/>
      <c r="C45" s="1587"/>
      <c r="D45" s="1164"/>
    </row>
    <row r="46" spans="1:4">
      <c r="A46" s="1587"/>
      <c r="B46" s="1587"/>
      <c r="C46" s="1587"/>
      <c r="D46" s="1164"/>
    </row>
    <row r="47" spans="1:4" ht="15">
      <c r="A47" s="1149"/>
      <c r="B47" s="1149"/>
      <c r="C47" s="1149"/>
      <c r="D47" s="1149"/>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colorId="22" zoomScale="75" workbookViewId="0">
      <selection activeCell="B7" sqref="B7:E7"/>
    </sheetView>
  </sheetViews>
  <sheetFormatPr defaultColWidth="14.5703125" defaultRowHeight="15"/>
  <cols>
    <col min="1" max="1" width="41.5703125" style="1149" customWidth="1"/>
    <col min="2" max="2" width="33.140625" style="1149" customWidth="1"/>
    <col min="3" max="4" width="31.85546875" style="1149" customWidth="1"/>
    <col min="5" max="5" width="16.5703125" style="1149" customWidth="1"/>
    <col min="6" max="6" width="14.5703125" style="1149" customWidth="1"/>
    <col min="7" max="7" width="4.85546875" style="1149" customWidth="1"/>
    <col min="8" max="8" width="14.5703125" style="1150" customWidth="1"/>
    <col min="9" max="9" width="18.42578125" style="1149" customWidth="1"/>
    <col min="10" max="10" width="15.5703125" style="1149" customWidth="1"/>
    <col min="11" max="11" width="6.140625" style="1149" customWidth="1"/>
    <col min="12" max="12" width="14.5703125" style="1149" customWidth="1"/>
    <col min="13" max="13" width="16.140625" style="1149" customWidth="1"/>
    <col min="14" max="14" width="14.5703125" style="1149" customWidth="1"/>
    <col min="15" max="15" width="4.85546875" style="1149" customWidth="1"/>
    <col min="16" max="16" width="18.5703125" style="1149" customWidth="1"/>
    <col min="17" max="16384" width="14.5703125" style="1149"/>
  </cols>
  <sheetData>
    <row r="1" spans="1:7" s="777" customFormat="1" ht="15.75">
      <c r="A1" s="893" t="s">
        <v>114</v>
      </c>
      <c r="G1" s="274"/>
    </row>
    <row r="2" spans="1:7" s="777" customFormat="1" ht="15.75">
      <c r="A2" s="893" t="s">
        <v>114</v>
      </c>
      <c r="G2" s="274"/>
    </row>
    <row r="3" spans="1:7" ht="19.5">
      <c r="B3" s="1588" t="s">
        <v>391</v>
      </c>
      <c r="C3" s="1588"/>
      <c r="D3" s="1588"/>
      <c r="E3" s="1588"/>
    </row>
    <row r="4" spans="1:7" ht="19.5">
      <c r="B4" s="1588" t="s">
        <v>781</v>
      </c>
      <c r="C4" s="1588"/>
      <c r="D4" s="1588"/>
      <c r="E4" s="1588"/>
    </row>
    <row r="5" spans="1:7" ht="19.5">
      <c r="B5" s="1588" t="s">
        <v>782</v>
      </c>
      <c r="C5" s="1588"/>
      <c r="D5" s="1588"/>
      <c r="E5" s="1588"/>
    </row>
    <row r="6" spans="1:7" ht="19.5">
      <c r="B6" s="1588" t="s">
        <v>1358</v>
      </c>
      <c r="C6" s="1588"/>
      <c r="D6" s="1588"/>
      <c r="E6" s="1588"/>
    </row>
    <row r="7" spans="1:7" ht="19.5">
      <c r="B7" s="1588" t="s">
        <v>784</v>
      </c>
      <c r="C7" s="1588"/>
      <c r="D7" s="1588"/>
      <c r="E7" s="1588"/>
    </row>
    <row r="8" spans="1:7" ht="19.5">
      <c r="B8" s="1588" t="s">
        <v>809</v>
      </c>
      <c r="C8" s="1588"/>
      <c r="D8" s="1588"/>
      <c r="E8" s="1588"/>
    </row>
    <row r="9" spans="1:7">
      <c r="B9" s="1142"/>
      <c r="C9" s="1142"/>
      <c r="D9" s="1145" t="s">
        <v>114</v>
      </c>
    </row>
    <row r="10" spans="1:7">
      <c r="A10" s="1587"/>
      <c r="B10" s="1587"/>
      <c r="C10" s="1587"/>
      <c r="D10" s="1164"/>
    </row>
    <row r="11" spans="1:7" ht="15.75">
      <c r="A11" s="1142"/>
      <c r="B11" s="1163" t="s">
        <v>399</v>
      </c>
    </row>
    <row r="12" spans="1:7" ht="15.75">
      <c r="A12" s="1145"/>
      <c r="B12" s="1163" t="s">
        <v>403</v>
      </c>
      <c r="C12" s="1163" t="s">
        <v>404</v>
      </c>
      <c r="D12" s="1163"/>
    </row>
    <row r="13" spans="1:7" ht="15.75" thickBot="1">
      <c r="C13" s="1167" t="s">
        <v>499</v>
      </c>
    </row>
    <row r="14" spans="1:7">
      <c r="A14" s="1153" t="s">
        <v>406</v>
      </c>
      <c r="B14" s="1154"/>
      <c r="C14" s="269"/>
    </row>
    <row r="15" spans="1:7">
      <c r="A15" s="1166"/>
      <c r="D15" s="1167"/>
    </row>
    <row r="16" spans="1:7">
      <c r="A16" s="1156" t="s">
        <v>407</v>
      </c>
      <c r="B16" s="273">
        <v>352</v>
      </c>
      <c r="C16" s="268">
        <v>1.15E-2</v>
      </c>
      <c r="D16" s="1167"/>
    </row>
    <row r="17" spans="1:4">
      <c r="A17" s="1172" t="s">
        <v>408</v>
      </c>
      <c r="B17" s="273">
        <v>353</v>
      </c>
      <c r="C17" s="268">
        <v>2.2200000000000001E-2</v>
      </c>
      <c r="D17" s="1167"/>
    </row>
    <row r="18" spans="1:4">
      <c r="A18" s="1172" t="s">
        <v>409</v>
      </c>
      <c r="B18" s="273">
        <v>354</v>
      </c>
      <c r="C18" s="268">
        <v>2.6499999999999999E-2</v>
      </c>
      <c r="D18" s="1167"/>
    </row>
    <row r="19" spans="1:4">
      <c r="A19" s="1172" t="s">
        <v>410</v>
      </c>
      <c r="B19" s="273">
        <v>355</v>
      </c>
      <c r="C19" s="268">
        <v>2.41E-2</v>
      </c>
      <c r="D19" s="1167"/>
    </row>
    <row r="20" spans="1:4">
      <c r="A20" s="1172" t="s">
        <v>777</v>
      </c>
      <c r="B20" s="273">
        <v>356</v>
      </c>
      <c r="C20" s="268">
        <v>1.32E-2</v>
      </c>
      <c r="D20" s="1167"/>
    </row>
    <row r="21" spans="1:4">
      <c r="A21" s="1172" t="s">
        <v>411</v>
      </c>
      <c r="B21" s="273">
        <v>351</v>
      </c>
      <c r="C21" s="268">
        <v>9.9400000000000002E-2</v>
      </c>
      <c r="D21" s="1167"/>
    </row>
    <row r="22" spans="1:4">
      <c r="A22" s="1172" t="s">
        <v>412</v>
      </c>
      <c r="B22" s="273">
        <v>351</v>
      </c>
      <c r="C22" s="268">
        <v>0.13980000000000001</v>
      </c>
      <c r="D22" s="1167"/>
    </row>
    <row r="23" spans="1:4">
      <c r="A23" s="1172" t="s">
        <v>778</v>
      </c>
      <c r="B23" s="273">
        <v>359</v>
      </c>
      <c r="C23" s="1165" t="s">
        <v>810</v>
      </c>
      <c r="D23" s="1167"/>
    </row>
    <row r="24" spans="1:4" ht="15.75" thickBot="1">
      <c r="A24" s="1172"/>
      <c r="B24" s="273"/>
      <c r="C24" s="268"/>
      <c r="D24" s="1167"/>
    </row>
    <row r="25" spans="1:4">
      <c r="A25" s="1153" t="s">
        <v>812</v>
      </c>
      <c r="B25" s="1154"/>
      <c r="C25" s="269"/>
      <c r="D25" s="1167"/>
    </row>
    <row r="26" spans="1:4" ht="15" customHeight="1">
      <c r="A26" s="1172"/>
      <c r="B26" s="273"/>
      <c r="C26" s="268"/>
      <c r="D26" s="1167"/>
    </row>
    <row r="27" spans="1:4">
      <c r="A27" s="1172" t="s">
        <v>813</v>
      </c>
      <c r="B27" s="273">
        <v>390</v>
      </c>
      <c r="C27" s="268">
        <v>1.0800000000000001E-2</v>
      </c>
      <c r="D27" s="1167"/>
    </row>
    <row r="28" spans="1:4">
      <c r="A28" s="1172" t="s">
        <v>814</v>
      </c>
      <c r="B28" s="273">
        <v>391</v>
      </c>
      <c r="C28" s="268">
        <v>2.1299999999999999E-2</v>
      </c>
      <c r="D28" s="1167"/>
    </row>
    <row r="29" spans="1:4">
      <c r="A29" s="1172" t="s">
        <v>815</v>
      </c>
      <c r="B29" s="273">
        <v>393</v>
      </c>
      <c r="C29" s="268">
        <v>1.78E-2</v>
      </c>
      <c r="D29" s="1167"/>
    </row>
    <row r="30" spans="1:4" ht="15" customHeight="1">
      <c r="A30" s="1172" t="s">
        <v>816</v>
      </c>
      <c r="B30" s="273">
        <v>394</v>
      </c>
      <c r="C30" s="268">
        <v>1.6500000000000001E-2</v>
      </c>
      <c r="D30" s="1167"/>
    </row>
    <row r="31" spans="1:4">
      <c r="A31" s="1172" t="s">
        <v>818</v>
      </c>
      <c r="B31" s="273">
        <v>397</v>
      </c>
      <c r="C31" s="268">
        <v>5.0900000000000001E-2</v>
      </c>
      <c r="D31" s="1167"/>
    </row>
    <row r="32" spans="1:4">
      <c r="A32" s="1172" t="s">
        <v>819</v>
      </c>
      <c r="B32" s="273">
        <v>398</v>
      </c>
      <c r="C32" s="268">
        <v>2.76E-2</v>
      </c>
      <c r="D32" s="1167"/>
    </row>
    <row r="33" spans="1:4">
      <c r="A33" s="1172"/>
      <c r="B33" s="273"/>
      <c r="C33" s="268"/>
      <c r="D33" s="1167"/>
    </row>
    <row r="34" spans="1:4">
      <c r="A34" s="1172"/>
      <c r="B34" s="273"/>
      <c r="C34" s="268"/>
      <c r="D34" s="1167"/>
    </row>
    <row r="35" spans="1:4">
      <c r="A35" s="1172"/>
      <c r="B35" s="273"/>
      <c r="C35" s="268"/>
      <c r="D35" s="1167"/>
    </row>
    <row r="36" spans="1:4">
      <c r="A36" s="1166"/>
      <c r="B36" s="1155"/>
      <c r="C36" s="310"/>
    </row>
    <row r="37" spans="1:4">
      <c r="A37" s="1589" t="s">
        <v>811</v>
      </c>
      <c r="B37" s="1589"/>
      <c r="C37" s="1589"/>
      <c r="D37" s="1589"/>
    </row>
    <row r="38" spans="1:4" ht="15.75">
      <c r="B38" s="1157"/>
      <c r="C38" s="276"/>
    </row>
    <row r="39" spans="1:4">
      <c r="A39" s="1589"/>
      <c r="B39" s="1589"/>
      <c r="C39" s="1589"/>
      <c r="D39" s="1589"/>
    </row>
    <row r="40" spans="1:4" ht="15.75">
      <c r="A40" s="1159" t="s">
        <v>808</v>
      </c>
      <c r="B40" s="1142"/>
      <c r="C40" s="268"/>
    </row>
    <row r="41" spans="1:4">
      <c r="A41" s="1587" t="s">
        <v>828</v>
      </c>
      <c r="B41" s="1587"/>
      <c r="C41" s="1587"/>
      <c r="D41" s="1164"/>
    </row>
    <row r="42" spans="1:4">
      <c r="A42" s="1587"/>
      <c r="B42" s="1587"/>
      <c r="C42" s="1587"/>
      <c r="D42" s="1164"/>
    </row>
    <row r="43" spans="1:4">
      <c r="A43" s="1587"/>
      <c r="B43" s="1587"/>
      <c r="C43" s="1587"/>
      <c r="D43" s="1164"/>
    </row>
    <row r="44" spans="1:4">
      <c r="A44" s="1587"/>
      <c r="B44" s="1587"/>
      <c r="C44" s="1587"/>
      <c r="D44" s="1164"/>
    </row>
    <row r="45" spans="1:4">
      <c r="A45" s="1587"/>
      <c r="B45" s="1587"/>
      <c r="C45" s="1587"/>
      <c r="D45" s="1164"/>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3" zoomScale="60" zoomScaleNormal="100" workbookViewId="0">
      <selection activeCell="A17" sqref="A17:B50"/>
    </sheetView>
  </sheetViews>
  <sheetFormatPr defaultColWidth="8.85546875" defaultRowHeight="12.75"/>
  <cols>
    <col min="1" max="1" width="42.42578125" style="332" customWidth="1"/>
    <col min="2" max="2" width="10.42578125" style="332" customWidth="1"/>
    <col min="3" max="3" width="3.42578125" style="332" customWidth="1"/>
    <col min="4" max="4" width="28.5703125" style="332" customWidth="1"/>
    <col min="5" max="5" width="4.5703125" style="332" customWidth="1"/>
    <col min="6" max="6" width="15.5703125" style="332" customWidth="1"/>
    <col min="7" max="7" width="8.85546875" style="332"/>
    <col min="8" max="8" width="21.140625" style="332" customWidth="1"/>
    <col min="9" max="9" width="17.42578125" style="332" customWidth="1"/>
    <col min="10" max="10" width="8.85546875" style="332"/>
    <col min="11" max="11" width="18.140625" style="332" customWidth="1"/>
    <col min="12" max="16384" width="8.85546875" style="332"/>
  </cols>
  <sheetData>
    <row r="1" spans="1:11" ht="15.75">
      <c r="A1" s="1591" t="s">
        <v>387</v>
      </c>
      <c r="B1" s="1591"/>
      <c r="C1" s="1591"/>
      <c r="D1" s="1591"/>
      <c r="E1" s="1591"/>
      <c r="F1" s="1591"/>
      <c r="G1" s="1591"/>
      <c r="H1" s="1591"/>
      <c r="I1" s="1591"/>
      <c r="J1" s="1591"/>
      <c r="K1" s="1591"/>
    </row>
    <row r="2" spans="1:11" ht="15.75">
      <c r="A2" s="1590" t="s">
        <v>567</v>
      </c>
      <c r="B2" s="1590"/>
      <c r="C2" s="1590"/>
      <c r="D2" s="1590"/>
      <c r="E2" s="1590"/>
      <c r="F2" s="1590"/>
      <c r="G2" s="1590"/>
      <c r="H2" s="1590"/>
      <c r="I2" s="1590"/>
      <c r="J2" s="1590"/>
      <c r="K2" s="1590"/>
    </row>
    <row r="3" spans="1:11" ht="15.75">
      <c r="A3" s="1590" t="s">
        <v>568</v>
      </c>
      <c r="B3" s="1590"/>
      <c r="C3" s="1590"/>
      <c r="D3" s="1590"/>
      <c r="E3" s="1590"/>
      <c r="F3" s="1590"/>
      <c r="G3" s="1590"/>
      <c r="H3" s="1590"/>
      <c r="I3" s="1590"/>
      <c r="J3" s="1590"/>
      <c r="K3" s="1590"/>
    </row>
    <row r="4" spans="1:11" ht="15.75">
      <c r="A4" s="516"/>
      <c r="B4" s="516"/>
      <c r="C4" s="516"/>
      <c r="D4" s="1590"/>
      <c r="E4" s="1590"/>
      <c r="F4" s="1590"/>
      <c r="G4" s="1590"/>
      <c r="H4" s="516"/>
      <c r="I4" s="516"/>
      <c r="J4" s="516"/>
      <c r="K4" s="516"/>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5" thickBot="1">
      <c r="A7" s="801"/>
      <c r="B7" s="802"/>
      <c r="C7" s="802"/>
      <c r="D7" s="802"/>
      <c r="E7" s="802"/>
      <c r="F7" s="802"/>
      <c r="G7" s="802"/>
      <c r="H7" s="802"/>
      <c r="I7" s="802"/>
      <c r="J7" s="802"/>
      <c r="K7" s="802"/>
    </row>
    <row r="8" spans="1:11" ht="47.25">
      <c r="A8" s="803" t="str">
        <f>"Reconciliation Revenue Requirement For Year 2018 Available May 25, 2019"</f>
        <v>Reconciliation Revenue Requirement For Year 2018 Available May 25, 2019</v>
      </c>
      <c r="B8" s="802"/>
      <c r="C8" s="802"/>
      <c r="D8" s="803" t="s">
        <v>1362</v>
      </c>
      <c r="E8" s="802"/>
      <c r="F8" s="802"/>
      <c r="G8" s="516"/>
      <c r="H8" s="803" t="s">
        <v>548</v>
      </c>
      <c r="I8" s="516"/>
      <c r="J8" s="516"/>
      <c r="K8" s="516"/>
    </row>
    <row r="9" spans="1:11" ht="15.75">
      <c r="A9" s="804" t="s">
        <v>114</v>
      </c>
      <c r="B9" s="802"/>
      <c r="C9" s="802"/>
      <c r="D9" s="804"/>
      <c r="E9" s="802"/>
      <c r="F9" s="802"/>
      <c r="G9" s="516"/>
      <c r="H9" s="805"/>
      <c r="I9" s="516"/>
      <c r="J9" s="516"/>
      <c r="K9" s="516"/>
    </row>
    <row r="10" spans="1:11" ht="16.5" thickBot="1">
      <c r="A10" s="888">
        <v>0</v>
      </c>
      <c r="B10" s="806" t="str">
        <f>"-"</f>
        <v>-</v>
      </c>
      <c r="C10" s="807"/>
      <c r="D10" s="888">
        <v>0</v>
      </c>
      <c r="E10" s="808"/>
      <c r="F10" s="809" t="str">
        <f>"="</f>
        <v>=</v>
      </c>
      <c r="G10" s="810"/>
      <c r="H10" s="811">
        <f>IF(A10=0,0,D10-A10)</f>
        <v>0</v>
      </c>
      <c r="I10" s="516"/>
      <c r="J10" s="516"/>
      <c r="K10" s="516"/>
    </row>
    <row r="11" spans="1:11" ht="15.75">
      <c r="A11" s="812"/>
      <c r="B11" s="813"/>
      <c r="C11" s="813"/>
      <c r="D11" s="812"/>
      <c r="E11" s="812"/>
      <c r="F11" s="813"/>
      <c r="G11" s="812"/>
      <c r="H11" s="516"/>
      <c r="I11" s="516"/>
      <c r="J11" s="516"/>
      <c r="K11" s="516"/>
    </row>
    <row r="12" spans="1:11" ht="16.5" thickBot="1">
      <c r="A12" s="814"/>
      <c r="B12" s="815"/>
      <c r="C12" s="815"/>
      <c r="D12" s="814"/>
      <c r="E12" s="814"/>
      <c r="F12" s="815"/>
      <c r="G12" s="814"/>
      <c r="H12" s="816"/>
      <c r="I12" s="816"/>
      <c r="J12" s="816"/>
      <c r="K12" s="816"/>
    </row>
    <row r="13" spans="1:11" ht="15.75">
      <c r="A13" s="817"/>
      <c r="B13" s="813"/>
      <c r="C13" s="813"/>
      <c r="D13" s="812"/>
      <c r="E13" s="812"/>
      <c r="F13" s="813"/>
      <c r="G13" s="812"/>
      <c r="H13" s="516"/>
      <c r="I13" s="516"/>
      <c r="J13" s="516"/>
      <c r="K13" s="516"/>
    </row>
    <row r="14" spans="1:11" ht="47.25">
      <c r="A14" s="818" t="s">
        <v>549</v>
      </c>
      <c r="B14" s="813"/>
      <c r="C14" s="813"/>
      <c r="D14" s="819" t="s">
        <v>550</v>
      </c>
      <c r="E14" s="812"/>
      <c r="F14" s="819" t="s">
        <v>551</v>
      </c>
      <c r="G14" s="820" t="s">
        <v>552</v>
      </c>
      <c r="H14" s="821" t="s">
        <v>553</v>
      </c>
      <c r="I14" s="819" t="s">
        <v>554</v>
      </c>
      <c r="J14" s="822"/>
      <c r="K14" s="819" t="s">
        <v>555</v>
      </c>
    </row>
    <row r="15" spans="1:11" ht="15.75">
      <c r="A15" s="818" t="s">
        <v>556</v>
      </c>
      <c r="B15" s="813"/>
      <c r="C15" s="813"/>
      <c r="D15" s="516"/>
      <c r="E15" s="823"/>
      <c r="F15" s="1456">
        <v>4.0949999999999997E-3</v>
      </c>
      <c r="H15" s="516"/>
      <c r="I15" s="516"/>
      <c r="J15" s="516"/>
      <c r="K15" s="516"/>
    </row>
    <row r="16" spans="1:11" ht="15.75">
      <c r="A16" s="818"/>
      <c r="B16" s="813"/>
      <c r="C16" s="813"/>
      <c r="D16" s="516"/>
      <c r="E16" s="823"/>
      <c r="F16" s="823"/>
      <c r="G16" s="812"/>
      <c r="H16" s="516"/>
      <c r="I16" s="516"/>
      <c r="J16" s="516"/>
      <c r="K16" s="516"/>
    </row>
    <row r="17" spans="1:11" ht="15.75">
      <c r="A17" s="818" t="s">
        <v>1363</v>
      </c>
      <c r="B17" s="813"/>
      <c r="C17" s="813"/>
      <c r="D17" s="516"/>
      <c r="E17" s="823"/>
      <c r="F17" s="823"/>
      <c r="G17" s="812"/>
      <c r="H17" s="516"/>
      <c r="I17" s="516"/>
      <c r="J17" s="516"/>
      <c r="K17" s="516"/>
    </row>
    <row r="18" spans="1:11" ht="15.75">
      <c r="A18" s="824" t="s">
        <v>114</v>
      </c>
      <c r="B18" s="813"/>
      <c r="C18" s="813"/>
      <c r="D18" s="813"/>
      <c r="E18" s="813"/>
      <c r="F18" s="813" t="s">
        <v>114</v>
      </c>
      <c r="G18" s="516"/>
      <c r="H18" s="516"/>
      <c r="I18" s="516"/>
      <c r="J18" s="516"/>
      <c r="K18" s="516"/>
    </row>
    <row r="19" spans="1:11" ht="15.75">
      <c r="A19" s="825"/>
      <c r="B19" s="813"/>
      <c r="C19" s="813"/>
      <c r="D19" s="813"/>
      <c r="E19" s="813"/>
      <c r="F19" s="516"/>
      <c r="G19" s="516"/>
      <c r="H19" s="820"/>
      <c r="I19" s="813"/>
      <c r="J19" s="813"/>
      <c r="K19" s="813"/>
    </row>
    <row r="20" spans="1:11" ht="15.75">
      <c r="A20" s="825" t="s">
        <v>557</v>
      </c>
      <c r="B20" s="813"/>
      <c r="C20" s="813"/>
      <c r="D20" s="813"/>
      <c r="E20" s="813"/>
      <c r="F20" s="516"/>
      <c r="G20" s="516"/>
      <c r="H20" s="820" t="s">
        <v>558</v>
      </c>
      <c r="I20" s="813"/>
      <c r="J20" s="813"/>
      <c r="K20" s="813"/>
    </row>
    <row r="21" spans="1:11" ht="15.75">
      <c r="A21" s="802" t="s">
        <v>185</v>
      </c>
      <c r="B21" s="802" t="str">
        <f>"Year 2018"</f>
        <v>Year 2018</v>
      </c>
      <c r="C21" s="802"/>
      <c r="D21" s="826">
        <f>H10/12</f>
        <v>0</v>
      </c>
      <c r="E21" s="826"/>
      <c r="F21" s="827">
        <f>+F15</f>
        <v>4.0949999999999997E-3</v>
      </c>
      <c r="G21" s="828">
        <v>12</v>
      </c>
      <c r="H21" s="826">
        <f>F21*D21*G21*-1</f>
        <v>0</v>
      </c>
      <c r="I21" s="826"/>
      <c r="J21" s="826"/>
      <c r="K21" s="826">
        <f>(-H21+D21)*-1</f>
        <v>0</v>
      </c>
    </row>
    <row r="22" spans="1:11" ht="15.75">
      <c r="A22" s="802" t="s">
        <v>559</v>
      </c>
      <c r="B22" s="802" t="str">
        <f>B21</f>
        <v>Year 2018</v>
      </c>
      <c r="C22" s="802"/>
      <c r="D22" s="826">
        <f>+D21</f>
        <v>0</v>
      </c>
      <c r="E22" s="826"/>
      <c r="F22" s="827">
        <f>+F21</f>
        <v>4.0949999999999997E-3</v>
      </c>
      <c r="G22" s="828">
        <f t="shared" ref="G22:G32" si="0">+G21-1</f>
        <v>11</v>
      </c>
      <c r="H22" s="826">
        <f t="shared" ref="H22:H32" si="1">F22*D22*G22*-1</f>
        <v>0</v>
      </c>
      <c r="I22" s="826"/>
      <c r="J22" s="826"/>
      <c r="K22" s="826">
        <f t="shared" ref="K22:K32" si="2">(-H22+D22)*-1</f>
        <v>0</v>
      </c>
    </row>
    <row r="23" spans="1:11" ht="15.75">
      <c r="A23" s="802" t="s">
        <v>186</v>
      </c>
      <c r="B23" s="802" t="str">
        <f t="shared" ref="B23:B32" si="3">B22</f>
        <v>Year 2018</v>
      </c>
      <c r="C23" s="802"/>
      <c r="D23" s="826">
        <f t="shared" ref="D23:D32" si="4">+D22</f>
        <v>0</v>
      </c>
      <c r="E23" s="826"/>
      <c r="F23" s="827">
        <f t="shared" ref="F23:F32" si="5">+F22</f>
        <v>4.0949999999999997E-3</v>
      </c>
      <c r="G23" s="828">
        <f t="shared" si="0"/>
        <v>10</v>
      </c>
      <c r="H23" s="826">
        <f t="shared" si="1"/>
        <v>0</v>
      </c>
      <c r="I23" s="826"/>
      <c r="J23" s="826"/>
      <c r="K23" s="826">
        <f t="shared" si="2"/>
        <v>0</v>
      </c>
    </row>
    <row r="24" spans="1:11" ht="15.75">
      <c r="A24" s="802" t="s">
        <v>187</v>
      </c>
      <c r="B24" s="802" t="str">
        <f t="shared" si="3"/>
        <v>Year 2018</v>
      </c>
      <c r="C24" s="802"/>
      <c r="D24" s="826">
        <f t="shared" si="4"/>
        <v>0</v>
      </c>
      <c r="E24" s="826"/>
      <c r="F24" s="827">
        <f t="shared" si="5"/>
        <v>4.0949999999999997E-3</v>
      </c>
      <c r="G24" s="828">
        <f t="shared" si="0"/>
        <v>9</v>
      </c>
      <c r="H24" s="826">
        <f t="shared" si="1"/>
        <v>0</v>
      </c>
      <c r="I24" s="826"/>
      <c r="J24" s="826"/>
      <c r="K24" s="826">
        <f t="shared" si="2"/>
        <v>0</v>
      </c>
    </row>
    <row r="25" spans="1:11" ht="15.75">
      <c r="A25" s="802" t="s">
        <v>188</v>
      </c>
      <c r="B25" s="802" t="str">
        <f t="shared" si="3"/>
        <v>Year 2018</v>
      </c>
      <c r="C25" s="802"/>
      <c r="D25" s="826">
        <f t="shared" si="4"/>
        <v>0</v>
      </c>
      <c r="E25" s="826"/>
      <c r="F25" s="827">
        <f t="shared" si="5"/>
        <v>4.0949999999999997E-3</v>
      </c>
      <c r="G25" s="828">
        <f t="shared" si="0"/>
        <v>8</v>
      </c>
      <c r="H25" s="826">
        <f t="shared" si="1"/>
        <v>0</v>
      </c>
      <c r="I25" s="826"/>
      <c r="J25" s="826"/>
      <c r="K25" s="826">
        <f t="shared" si="2"/>
        <v>0</v>
      </c>
    </row>
    <row r="26" spans="1:11" ht="15.75">
      <c r="A26" s="802" t="s">
        <v>382</v>
      </c>
      <c r="B26" s="802" t="str">
        <f t="shared" si="3"/>
        <v>Year 2018</v>
      </c>
      <c r="C26" s="802"/>
      <c r="D26" s="826">
        <f t="shared" si="4"/>
        <v>0</v>
      </c>
      <c r="E26" s="826"/>
      <c r="F26" s="827">
        <f t="shared" si="5"/>
        <v>4.0949999999999997E-3</v>
      </c>
      <c r="G26" s="828">
        <f t="shared" si="0"/>
        <v>7</v>
      </c>
      <c r="H26" s="826">
        <f t="shared" si="1"/>
        <v>0</v>
      </c>
      <c r="I26" s="826"/>
      <c r="J26" s="826"/>
      <c r="K26" s="826">
        <f t="shared" si="2"/>
        <v>0</v>
      </c>
    </row>
    <row r="27" spans="1:11" ht="15.75">
      <c r="A27" s="802" t="s">
        <v>189</v>
      </c>
      <c r="B27" s="802" t="str">
        <f t="shared" si="3"/>
        <v>Year 2018</v>
      </c>
      <c r="C27" s="802"/>
      <c r="D27" s="826">
        <f t="shared" si="4"/>
        <v>0</v>
      </c>
      <c r="E27" s="826"/>
      <c r="F27" s="827">
        <f t="shared" si="5"/>
        <v>4.0949999999999997E-3</v>
      </c>
      <c r="G27" s="828">
        <f t="shared" si="0"/>
        <v>6</v>
      </c>
      <c r="H27" s="826">
        <f t="shared" si="1"/>
        <v>0</v>
      </c>
      <c r="I27" s="826"/>
      <c r="J27" s="826"/>
      <c r="K27" s="826">
        <f t="shared" si="2"/>
        <v>0</v>
      </c>
    </row>
    <row r="28" spans="1:11" ht="15.75">
      <c r="A28" s="802" t="s">
        <v>190</v>
      </c>
      <c r="B28" s="802" t="str">
        <f t="shared" si="3"/>
        <v>Year 2018</v>
      </c>
      <c r="C28" s="802"/>
      <c r="D28" s="826">
        <f t="shared" si="4"/>
        <v>0</v>
      </c>
      <c r="E28" s="826"/>
      <c r="F28" s="827">
        <f t="shared" si="5"/>
        <v>4.0949999999999997E-3</v>
      </c>
      <c r="G28" s="828">
        <f t="shared" si="0"/>
        <v>5</v>
      </c>
      <c r="H28" s="826">
        <f t="shared" si="1"/>
        <v>0</v>
      </c>
      <c r="I28" s="826"/>
      <c r="J28" s="826"/>
      <c r="K28" s="826">
        <f t="shared" si="2"/>
        <v>0</v>
      </c>
    </row>
    <row r="29" spans="1:11" ht="15.75">
      <c r="A29" s="802" t="s">
        <v>192</v>
      </c>
      <c r="B29" s="802" t="str">
        <f t="shared" si="3"/>
        <v>Year 2018</v>
      </c>
      <c r="C29" s="802"/>
      <c r="D29" s="826">
        <f t="shared" si="4"/>
        <v>0</v>
      </c>
      <c r="E29" s="826"/>
      <c r="F29" s="827">
        <f t="shared" si="5"/>
        <v>4.0949999999999997E-3</v>
      </c>
      <c r="G29" s="828">
        <f t="shared" si="0"/>
        <v>4</v>
      </c>
      <c r="H29" s="826">
        <f t="shared" si="1"/>
        <v>0</v>
      </c>
      <c r="I29" s="826"/>
      <c r="J29" s="826"/>
      <c r="K29" s="826">
        <f t="shared" si="2"/>
        <v>0</v>
      </c>
    </row>
    <row r="30" spans="1:11" ht="15.75">
      <c r="A30" s="802" t="s">
        <v>560</v>
      </c>
      <c r="B30" s="802" t="str">
        <f t="shared" si="3"/>
        <v>Year 2018</v>
      </c>
      <c r="C30" s="802"/>
      <c r="D30" s="826">
        <f t="shared" si="4"/>
        <v>0</v>
      </c>
      <c r="E30" s="826"/>
      <c r="F30" s="827">
        <f t="shared" si="5"/>
        <v>4.0949999999999997E-3</v>
      </c>
      <c r="G30" s="828">
        <f t="shared" si="0"/>
        <v>3</v>
      </c>
      <c r="H30" s="826">
        <f t="shared" si="1"/>
        <v>0</v>
      </c>
      <c r="I30" s="826"/>
      <c r="J30" s="826"/>
      <c r="K30" s="826">
        <f t="shared" si="2"/>
        <v>0</v>
      </c>
    </row>
    <row r="31" spans="1:11" ht="15.75">
      <c r="A31" s="802" t="s">
        <v>561</v>
      </c>
      <c r="B31" s="802" t="str">
        <f t="shared" si="3"/>
        <v>Year 2018</v>
      </c>
      <c r="C31" s="802"/>
      <c r="D31" s="826">
        <f t="shared" si="4"/>
        <v>0</v>
      </c>
      <c r="E31" s="826"/>
      <c r="F31" s="827">
        <f t="shared" si="5"/>
        <v>4.0949999999999997E-3</v>
      </c>
      <c r="G31" s="828">
        <f t="shared" si="0"/>
        <v>2</v>
      </c>
      <c r="H31" s="826">
        <f t="shared" si="1"/>
        <v>0</v>
      </c>
      <c r="I31" s="826"/>
      <c r="J31" s="826"/>
      <c r="K31" s="826">
        <f t="shared" si="2"/>
        <v>0</v>
      </c>
    </row>
    <row r="32" spans="1:11" ht="15.75">
      <c r="A32" s="802" t="s">
        <v>191</v>
      </c>
      <c r="B32" s="802" t="str">
        <f t="shared" si="3"/>
        <v>Year 2018</v>
      </c>
      <c r="C32" s="802"/>
      <c r="D32" s="826">
        <f t="shared" si="4"/>
        <v>0</v>
      </c>
      <c r="E32" s="826"/>
      <c r="F32" s="827">
        <f t="shared" si="5"/>
        <v>4.0949999999999997E-3</v>
      </c>
      <c r="G32" s="828">
        <f t="shared" si="0"/>
        <v>1</v>
      </c>
      <c r="H32" s="829">
        <f t="shared" si="1"/>
        <v>0</v>
      </c>
      <c r="I32" s="826"/>
      <c r="J32" s="826"/>
      <c r="K32" s="826">
        <f t="shared" si="2"/>
        <v>0</v>
      </c>
    </row>
    <row r="33" spans="1:11" ht="15.75">
      <c r="A33" s="802"/>
      <c r="B33" s="802"/>
      <c r="C33" s="802"/>
      <c r="D33" s="826"/>
      <c r="E33" s="826"/>
      <c r="F33" s="827"/>
      <c r="G33" s="802"/>
      <c r="H33" s="826">
        <f>SUM(H21:H32)</f>
        <v>0</v>
      </c>
      <c r="I33" s="826"/>
      <c r="J33" s="826"/>
      <c r="K33" s="830">
        <f>SUM(K21:K32)</f>
        <v>0</v>
      </c>
    </row>
    <row r="34" spans="1:11" ht="15.75">
      <c r="A34" s="802"/>
      <c r="B34" s="802"/>
      <c r="C34" s="802"/>
      <c r="D34" s="826"/>
      <c r="E34" s="826"/>
      <c r="F34" s="827"/>
      <c r="G34" s="802"/>
      <c r="H34" s="826"/>
      <c r="I34" s="826" t="s">
        <v>114</v>
      </c>
      <c r="J34" s="826"/>
      <c r="K34" s="516"/>
    </row>
    <row r="35" spans="1:11" ht="15.75">
      <c r="A35" s="802"/>
      <c r="B35" s="802"/>
      <c r="C35" s="802"/>
      <c r="D35" s="812"/>
      <c r="E35" s="812"/>
      <c r="F35" s="827"/>
      <c r="G35" s="802"/>
      <c r="H35" s="831" t="s">
        <v>562</v>
      </c>
      <c r="I35" s="826"/>
      <c r="J35" s="826"/>
      <c r="K35" s="826"/>
    </row>
    <row r="36" spans="1:11" ht="15.75">
      <c r="A36" s="802" t="s">
        <v>563</v>
      </c>
      <c r="B36" s="802" t="str">
        <f>"Year 2019"</f>
        <v>Year 2019</v>
      </c>
      <c r="C36" s="802"/>
      <c r="D36" s="812">
        <f>K33</f>
        <v>0</v>
      </c>
      <c r="E36" s="812"/>
      <c r="F36" s="827">
        <f>+F32</f>
        <v>4.0949999999999997E-3</v>
      </c>
      <c r="G36" s="828">
        <v>12</v>
      </c>
      <c r="H36" s="826">
        <f>+G36*F36*D36</f>
        <v>0</v>
      </c>
      <c r="I36" s="826"/>
      <c r="J36" s="826"/>
      <c r="K36" s="830">
        <f>+D36+H36</f>
        <v>0</v>
      </c>
    </row>
    <row r="37" spans="1:11" ht="15.75">
      <c r="A37" s="802"/>
      <c r="B37" s="802"/>
      <c r="C37" s="802"/>
      <c r="D37" s="812"/>
      <c r="E37" s="812"/>
      <c r="F37" s="827"/>
      <c r="G37" s="802"/>
      <c r="H37" s="826"/>
      <c r="I37" s="826"/>
      <c r="J37" s="826"/>
      <c r="K37" s="826"/>
    </row>
    <row r="38" spans="1:11" ht="15.75">
      <c r="A38" s="832" t="s">
        <v>564</v>
      </c>
      <c r="B38" s="802"/>
      <c r="C38" s="802"/>
      <c r="D38" s="826"/>
      <c r="E38" s="826"/>
      <c r="F38" s="827"/>
      <c r="G38" s="802"/>
      <c r="H38" s="831" t="s">
        <v>558</v>
      </c>
      <c r="I38" s="826"/>
      <c r="J38" s="826"/>
      <c r="K38" s="826"/>
    </row>
    <row r="39" spans="1:11" ht="15.75">
      <c r="A39" s="802" t="s">
        <v>185</v>
      </c>
      <c r="B39" s="802" t="str">
        <f>"Year 2020"</f>
        <v>Year 2020</v>
      </c>
      <c r="C39" s="802"/>
      <c r="D39" s="812">
        <f>-K36</f>
        <v>0</v>
      </c>
      <c r="E39" s="812"/>
      <c r="F39" s="827">
        <f>+F32</f>
        <v>4.0949999999999997E-3</v>
      </c>
      <c r="G39" s="802"/>
      <c r="H39" s="826">
        <f xml:space="preserve"> -F39*D39</f>
        <v>0</v>
      </c>
      <c r="I39" s="826">
        <f>PMT(F39,12,K$36)</f>
        <v>0</v>
      </c>
      <c r="J39" s="826"/>
      <c r="K39" s="826">
        <f>(+D39+D39*F39-I39)*-1</f>
        <v>0</v>
      </c>
    </row>
    <row r="40" spans="1:11" ht="15.75">
      <c r="A40" s="802" t="s">
        <v>559</v>
      </c>
      <c r="B40" s="802" t="str">
        <f>+B39</f>
        <v>Year 2020</v>
      </c>
      <c r="C40" s="802"/>
      <c r="D40" s="812">
        <f>-K39</f>
        <v>0</v>
      </c>
      <c r="E40" s="812"/>
      <c r="F40" s="827">
        <f>+F39</f>
        <v>4.0949999999999997E-3</v>
      </c>
      <c r="G40" s="802"/>
      <c r="H40" s="826">
        <f xml:space="preserve"> -F40*D40</f>
        <v>0</v>
      </c>
      <c r="I40" s="826">
        <f>I39</f>
        <v>0</v>
      </c>
      <c r="J40" s="826"/>
      <c r="K40" s="826">
        <f t="shared" ref="K40:K50" si="6">(+D40+D40*F40-I40)*-1</f>
        <v>0</v>
      </c>
    </row>
    <row r="41" spans="1:11" ht="15.75">
      <c r="A41" s="802" t="s">
        <v>186</v>
      </c>
      <c r="B41" s="802" t="str">
        <f>+B40</f>
        <v>Year 2020</v>
      </c>
      <c r="C41" s="802"/>
      <c r="D41" s="812">
        <f t="shared" ref="D41:D50" si="7">-K40</f>
        <v>0</v>
      </c>
      <c r="E41" s="812"/>
      <c r="F41" s="827">
        <f t="shared" ref="F41:F50" si="8">+F40</f>
        <v>4.0949999999999997E-3</v>
      </c>
      <c r="G41" s="802"/>
      <c r="H41" s="826">
        <f t="shared" ref="H41:H50" si="9" xml:space="preserve"> -F41*D41</f>
        <v>0</v>
      </c>
      <c r="I41" s="826">
        <f t="shared" ref="I41:I50" si="10">I40</f>
        <v>0</v>
      </c>
      <c r="J41" s="826"/>
      <c r="K41" s="826">
        <f t="shared" si="6"/>
        <v>0</v>
      </c>
    </row>
    <row r="42" spans="1:11" ht="15.75">
      <c r="A42" s="802" t="s">
        <v>187</v>
      </c>
      <c r="B42" s="802" t="str">
        <f>+B41</f>
        <v>Year 2020</v>
      </c>
      <c r="C42" s="802"/>
      <c r="D42" s="812">
        <f t="shared" si="7"/>
        <v>0</v>
      </c>
      <c r="E42" s="812"/>
      <c r="F42" s="827">
        <f t="shared" si="8"/>
        <v>4.0949999999999997E-3</v>
      </c>
      <c r="G42" s="802"/>
      <c r="H42" s="826">
        <f t="shared" si="9"/>
        <v>0</v>
      </c>
      <c r="I42" s="826">
        <f t="shared" si="10"/>
        <v>0</v>
      </c>
      <c r="J42" s="826"/>
      <c r="K42" s="826">
        <f t="shared" si="6"/>
        <v>0</v>
      </c>
    </row>
    <row r="43" spans="1:11" ht="15.75">
      <c r="A43" s="802" t="s">
        <v>188</v>
      </c>
      <c r="B43" s="802" t="str">
        <f>+B42</f>
        <v>Year 2020</v>
      </c>
      <c r="C43" s="802"/>
      <c r="D43" s="812">
        <f t="shared" si="7"/>
        <v>0</v>
      </c>
      <c r="E43" s="812"/>
      <c r="F43" s="827">
        <f t="shared" si="8"/>
        <v>4.0949999999999997E-3</v>
      </c>
      <c r="G43" s="802"/>
      <c r="H43" s="826">
        <f t="shared" si="9"/>
        <v>0</v>
      </c>
      <c r="I43" s="826">
        <f>I42</f>
        <v>0</v>
      </c>
      <c r="J43" s="826"/>
      <c r="K43" s="826">
        <f t="shared" si="6"/>
        <v>0</v>
      </c>
    </row>
    <row r="44" spans="1:11" ht="15.75">
      <c r="A44" s="802" t="s">
        <v>382</v>
      </c>
      <c r="B44" s="802" t="str">
        <f>B43</f>
        <v>Year 2020</v>
      </c>
      <c r="C44" s="516"/>
      <c r="D44" s="812">
        <f t="shared" si="7"/>
        <v>0</v>
      </c>
      <c r="E44" s="812"/>
      <c r="F44" s="827">
        <f t="shared" si="8"/>
        <v>4.0949999999999997E-3</v>
      </c>
      <c r="G44" s="802"/>
      <c r="H44" s="826">
        <f t="shared" si="9"/>
        <v>0</v>
      </c>
      <c r="I44" s="826">
        <f t="shared" si="10"/>
        <v>0</v>
      </c>
      <c r="J44" s="826"/>
      <c r="K44" s="826">
        <f t="shared" si="6"/>
        <v>0</v>
      </c>
    </row>
    <row r="45" spans="1:11" ht="15.75">
      <c r="A45" s="802" t="s">
        <v>189</v>
      </c>
      <c r="B45" s="802" t="str">
        <f t="shared" ref="B45:B50" si="11">+B44</f>
        <v>Year 2020</v>
      </c>
      <c r="C45" s="802"/>
      <c r="D45" s="812">
        <f t="shared" si="7"/>
        <v>0</v>
      </c>
      <c r="E45" s="812"/>
      <c r="F45" s="827">
        <f t="shared" si="8"/>
        <v>4.0949999999999997E-3</v>
      </c>
      <c r="G45" s="802"/>
      <c r="H45" s="826">
        <f t="shared" si="9"/>
        <v>0</v>
      </c>
      <c r="I45" s="826">
        <f t="shared" si="10"/>
        <v>0</v>
      </c>
      <c r="J45" s="826"/>
      <c r="K45" s="826">
        <f t="shared" si="6"/>
        <v>0</v>
      </c>
    </row>
    <row r="46" spans="1:11" ht="15.75">
      <c r="A46" s="802" t="s">
        <v>190</v>
      </c>
      <c r="B46" s="802" t="str">
        <f t="shared" si="11"/>
        <v>Year 2020</v>
      </c>
      <c r="C46" s="802"/>
      <c r="D46" s="812">
        <f t="shared" si="7"/>
        <v>0</v>
      </c>
      <c r="E46" s="812"/>
      <c r="F46" s="827">
        <f t="shared" si="8"/>
        <v>4.0949999999999997E-3</v>
      </c>
      <c r="G46" s="802"/>
      <c r="H46" s="826">
        <f t="shared" si="9"/>
        <v>0</v>
      </c>
      <c r="I46" s="826">
        <f t="shared" si="10"/>
        <v>0</v>
      </c>
      <c r="J46" s="826"/>
      <c r="K46" s="826">
        <f t="shared" si="6"/>
        <v>0</v>
      </c>
    </row>
    <row r="47" spans="1:11" ht="15.75">
      <c r="A47" s="802" t="s">
        <v>192</v>
      </c>
      <c r="B47" s="802" t="str">
        <f t="shared" si="11"/>
        <v>Year 2020</v>
      </c>
      <c r="C47" s="802"/>
      <c r="D47" s="812">
        <f t="shared" si="7"/>
        <v>0</v>
      </c>
      <c r="E47" s="812"/>
      <c r="F47" s="827">
        <f t="shared" si="8"/>
        <v>4.0949999999999997E-3</v>
      </c>
      <c r="G47" s="802"/>
      <c r="H47" s="826">
        <f t="shared" si="9"/>
        <v>0</v>
      </c>
      <c r="I47" s="826">
        <f>I46</f>
        <v>0</v>
      </c>
      <c r="J47" s="826"/>
      <c r="K47" s="826">
        <f t="shared" si="6"/>
        <v>0</v>
      </c>
    </row>
    <row r="48" spans="1:11" ht="15.75">
      <c r="A48" s="802" t="s">
        <v>560</v>
      </c>
      <c r="B48" s="802" t="str">
        <f t="shared" si="11"/>
        <v>Year 2020</v>
      </c>
      <c r="C48" s="802"/>
      <c r="D48" s="812">
        <f t="shared" si="7"/>
        <v>0</v>
      </c>
      <c r="E48" s="812"/>
      <c r="F48" s="827">
        <f t="shared" si="8"/>
        <v>4.0949999999999997E-3</v>
      </c>
      <c r="G48" s="802"/>
      <c r="H48" s="826">
        <f t="shared" si="9"/>
        <v>0</v>
      </c>
      <c r="I48" s="826">
        <f t="shared" si="10"/>
        <v>0</v>
      </c>
      <c r="J48" s="826"/>
      <c r="K48" s="826">
        <f t="shared" si="6"/>
        <v>0</v>
      </c>
    </row>
    <row r="49" spans="1:11" ht="15.75">
      <c r="A49" s="802" t="s">
        <v>561</v>
      </c>
      <c r="B49" s="802" t="str">
        <f t="shared" si="11"/>
        <v>Year 2020</v>
      </c>
      <c r="C49" s="802"/>
      <c r="D49" s="812">
        <f t="shared" si="7"/>
        <v>0</v>
      </c>
      <c r="E49" s="812"/>
      <c r="F49" s="827">
        <f t="shared" si="8"/>
        <v>4.0949999999999997E-3</v>
      </c>
      <c r="G49" s="802"/>
      <c r="H49" s="826">
        <f t="shared" si="9"/>
        <v>0</v>
      </c>
      <c r="I49" s="826">
        <f t="shared" si="10"/>
        <v>0</v>
      </c>
      <c r="J49" s="826"/>
      <c r="K49" s="826">
        <f t="shared" si="6"/>
        <v>0</v>
      </c>
    </row>
    <row r="50" spans="1:11" ht="15.75">
      <c r="A50" s="802" t="s">
        <v>191</v>
      </c>
      <c r="B50" s="802" t="str">
        <f t="shared" si="11"/>
        <v>Year 2020</v>
      </c>
      <c r="C50" s="802"/>
      <c r="D50" s="812">
        <f t="shared" si="7"/>
        <v>0</v>
      </c>
      <c r="E50" s="812"/>
      <c r="F50" s="827">
        <f t="shared" si="8"/>
        <v>4.0949999999999997E-3</v>
      </c>
      <c r="G50" s="802"/>
      <c r="H50" s="829">
        <f t="shared" si="9"/>
        <v>0</v>
      </c>
      <c r="I50" s="826">
        <f t="shared" si="10"/>
        <v>0</v>
      </c>
      <c r="J50" s="826"/>
      <c r="K50" s="826">
        <f t="shared" si="6"/>
        <v>0</v>
      </c>
    </row>
    <row r="51" spans="1:11" ht="15.75">
      <c r="A51" s="802"/>
      <c r="B51" s="802"/>
      <c r="C51" s="802"/>
      <c r="D51" s="812"/>
      <c r="E51" s="812"/>
      <c r="F51" s="827"/>
      <c r="G51" s="802"/>
      <c r="H51" s="826">
        <f>SUM(H39:H50)</f>
        <v>0</v>
      </c>
      <c r="I51" s="826"/>
      <c r="J51" s="826"/>
      <c r="K51" s="826"/>
    </row>
    <row r="52" spans="1:11" ht="15">
      <c r="A52" s="516"/>
      <c r="B52" s="516"/>
      <c r="C52" s="516"/>
      <c r="D52" s="516"/>
      <c r="E52" s="516"/>
      <c r="F52" s="516"/>
      <c r="G52" s="516"/>
      <c r="H52" s="516"/>
      <c r="I52" s="833"/>
      <c r="J52" s="516"/>
      <c r="K52" s="516"/>
    </row>
    <row r="53" spans="1:11" ht="15.75">
      <c r="A53" s="802" t="s">
        <v>569</v>
      </c>
      <c r="B53" s="516"/>
      <c r="C53" s="516"/>
      <c r="D53" s="516"/>
      <c r="E53" s="516"/>
      <c r="F53" s="516"/>
      <c r="G53" s="516"/>
      <c r="H53" s="516"/>
      <c r="I53" s="834">
        <f>(SUM(I39:I50)*-1)</f>
        <v>0</v>
      </c>
      <c r="J53" s="516"/>
      <c r="K53" s="516"/>
    </row>
    <row r="54" spans="1:11" ht="15.75">
      <c r="A54" s="802" t="s">
        <v>565</v>
      </c>
      <c r="B54" s="516"/>
      <c r="C54" s="516"/>
      <c r="D54" s="516"/>
      <c r="E54" s="516"/>
      <c r="F54" s="516"/>
      <c r="G54" s="516"/>
      <c r="H54" s="516"/>
      <c r="I54" s="835">
        <f>+H10</f>
        <v>0</v>
      </c>
      <c r="J54" s="516"/>
      <c r="K54" s="516"/>
    </row>
    <row r="55" spans="1:11" ht="15.75">
      <c r="A55" s="802" t="s">
        <v>566</v>
      </c>
      <c r="B55" s="516"/>
      <c r="C55" s="516"/>
      <c r="D55" s="516"/>
      <c r="E55" s="516"/>
      <c r="F55" s="516"/>
      <c r="G55" s="516"/>
      <c r="H55" s="516"/>
      <c r="I55" s="834">
        <f>(I53+I54)</f>
        <v>0</v>
      </c>
      <c r="J55" s="516"/>
      <c r="K55" s="516"/>
    </row>
    <row r="56" spans="1:11">
      <c r="A56" s="413"/>
      <c r="B56" s="413"/>
      <c r="C56" s="413"/>
      <c r="D56" s="413"/>
      <c r="E56" s="413"/>
      <c r="F56" s="413"/>
      <c r="G56" s="413"/>
      <c r="H56" s="413"/>
      <c r="I56" s="413"/>
      <c r="J56" s="413"/>
      <c r="K56" s="413"/>
    </row>
    <row r="57" spans="1:11" ht="126.75" customHeight="1">
      <c r="A57" s="1592" t="s">
        <v>570</v>
      </c>
      <c r="B57" s="1592"/>
      <c r="C57" s="1592"/>
      <c r="D57" s="1592"/>
      <c r="E57" s="836"/>
      <c r="F57" s="836"/>
      <c r="G57" s="836"/>
      <c r="H57" s="836"/>
      <c r="I57" s="836"/>
      <c r="J57" s="836"/>
      <c r="K57" s="836"/>
    </row>
  </sheetData>
  <mergeCells count="5">
    <mergeCell ref="A3:K3"/>
    <mergeCell ref="A1:K1"/>
    <mergeCell ref="A2:K2"/>
    <mergeCell ref="D4:G4"/>
    <mergeCell ref="A57:D57"/>
  </mergeCells>
  <pageMargins left="0.7" right="0.7" top="0.75" bottom="0.75" header="0.3" footer="0.3"/>
  <pageSetup scale="5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4" zoomScale="60" zoomScaleNormal="100" workbookViewId="0">
      <selection activeCell="A8" sqref="A8:D8"/>
    </sheetView>
  </sheetViews>
  <sheetFormatPr defaultRowHeight="12.75"/>
  <cols>
    <col min="1" max="1" width="27" customWidth="1"/>
    <col min="4" max="4" width="27" customWidth="1"/>
    <col min="6" max="6" width="13.140625" customWidth="1"/>
    <col min="8" max="8" width="21.5703125" customWidth="1"/>
    <col min="9" max="9" width="14.85546875" customWidth="1"/>
    <col min="11" max="11" width="18.5703125" customWidth="1"/>
  </cols>
  <sheetData>
    <row r="1" spans="1:11" ht="15.75">
      <c r="A1" s="1591" t="s">
        <v>387</v>
      </c>
      <c r="B1" s="1591"/>
      <c r="C1" s="1591"/>
      <c r="D1" s="1591"/>
      <c r="E1" s="1591"/>
      <c r="F1" s="1591"/>
      <c r="G1" s="1591"/>
      <c r="H1" s="1591"/>
      <c r="I1" s="1591"/>
      <c r="J1" s="1591"/>
      <c r="K1" s="1591"/>
    </row>
    <row r="2" spans="1:11" ht="15.75">
      <c r="A2" s="1590" t="s">
        <v>567</v>
      </c>
      <c r="B2" s="1590"/>
      <c r="C2" s="1590"/>
      <c r="D2" s="1590"/>
      <c r="E2" s="1590"/>
      <c r="F2" s="1590"/>
      <c r="G2" s="1590"/>
      <c r="H2" s="1590"/>
      <c r="I2" s="1590"/>
      <c r="J2" s="1590"/>
      <c r="K2" s="1590"/>
    </row>
    <row r="3" spans="1:11" ht="15.75">
      <c r="A3" s="1590" t="s">
        <v>568</v>
      </c>
      <c r="B3" s="1590"/>
      <c r="C3" s="1590"/>
      <c r="D3" s="1590"/>
      <c r="E3" s="1590"/>
      <c r="F3" s="1590"/>
      <c r="G3" s="1590"/>
      <c r="H3" s="1590"/>
      <c r="I3" s="1590"/>
      <c r="J3" s="1590"/>
      <c r="K3" s="1590"/>
    </row>
    <row r="4" spans="1:11" ht="15.75">
      <c r="A4" s="516"/>
      <c r="B4" s="516"/>
      <c r="C4" s="516"/>
      <c r="D4" s="1590"/>
      <c r="E4" s="1590"/>
      <c r="F4" s="1590"/>
      <c r="G4" s="1590"/>
      <c r="H4" s="516"/>
      <c r="I4" s="516"/>
      <c r="J4" s="516"/>
      <c r="K4" s="516"/>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5" thickBot="1">
      <c r="A7" s="801"/>
      <c r="B7" s="802"/>
      <c r="C7" s="802"/>
      <c r="D7" s="802"/>
      <c r="E7" s="802"/>
      <c r="F7" s="802"/>
      <c r="G7" s="802"/>
      <c r="H7" s="802"/>
      <c r="I7" s="802"/>
      <c r="J7" s="802"/>
      <c r="K7" s="802"/>
    </row>
    <row r="8" spans="1:11" ht="47.25">
      <c r="A8" s="803" t="str">
        <f>"Reconciliation Revenue Requirement For Year 2018 Available May 25, 2019"</f>
        <v>Reconciliation Revenue Requirement For Year 2018 Available May 25, 2019</v>
      </c>
      <c r="B8" s="802"/>
      <c r="C8" s="802"/>
      <c r="D8" s="803" t="s">
        <v>1362</v>
      </c>
      <c r="E8" s="802"/>
      <c r="F8" s="802"/>
      <c r="G8" s="516"/>
      <c r="H8" s="803" t="s">
        <v>548</v>
      </c>
      <c r="I8" s="516"/>
      <c r="J8" s="516"/>
      <c r="K8" s="516"/>
    </row>
    <row r="9" spans="1:11" ht="15.75">
      <c r="A9" s="804" t="s">
        <v>114</v>
      </c>
      <c r="B9" s="802"/>
      <c r="C9" s="802"/>
      <c r="D9" s="804"/>
      <c r="E9" s="802"/>
      <c r="F9" s="802"/>
      <c r="G9" s="516"/>
      <c r="H9" s="805"/>
      <c r="I9" s="516"/>
      <c r="J9" s="516"/>
      <c r="K9" s="516"/>
    </row>
    <row r="10" spans="1:11" ht="16.5" thickBot="1">
      <c r="A10" s="888">
        <v>0</v>
      </c>
      <c r="B10" s="806" t="str">
        <f>"-"</f>
        <v>-</v>
      </c>
      <c r="C10" s="807"/>
      <c r="D10" s="888">
        <v>0</v>
      </c>
      <c r="E10" s="808"/>
      <c r="F10" s="809" t="str">
        <f>"="</f>
        <v>=</v>
      </c>
      <c r="G10" s="810"/>
      <c r="H10" s="811">
        <f>IF(A10=0,0,D10-A10)</f>
        <v>0</v>
      </c>
      <c r="I10" s="516"/>
      <c r="J10" s="516"/>
      <c r="K10" s="516"/>
    </row>
    <row r="11" spans="1:11" ht="15.75">
      <c r="A11" s="812"/>
      <c r="B11" s="813"/>
      <c r="C11" s="813"/>
      <c r="D11" s="812"/>
      <c r="E11" s="812"/>
      <c r="F11" s="813"/>
      <c r="G11" s="812"/>
      <c r="H11" s="516"/>
      <c r="I11" s="516"/>
      <c r="J11" s="516"/>
      <c r="K11" s="516"/>
    </row>
    <row r="12" spans="1:11" ht="16.5" thickBot="1">
      <c r="A12" s="814"/>
      <c r="B12" s="815"/>
      <c r="C12" s="815"/>
      <c r="D12" s="814"/>
      <c r="E12" s="814"/>
      <c r="F12" s="815"/>
      <c r="G12" s="814"/>
      <c r="H12" s="816"/>
      <c r="I12" s="816"/>
      <c r="J12" s="816"/>
      <c r="K12" s="816"/>
    </row>
    <row r="13" spans="1:11" ht="15.75">
      <c r="A13" s="817"/>
      <c r="B13" s="813"/>
      <c r="C13" s="813"/>
      <c r="D13" s="812"/>
      <c r="E13" s="812"/>
      <c r="F13" s="813"/>
      <c r="G13" s="812"/>
      <c r="H13" s="516"/>
      <c r="I13" s="516"/>
      <c r="J13" s="516"/>
      <c r="K13" s="516"/>
    </row>
    <row r="14" spans="1:11" ht="47.25">
      <c r="A14" s="818" t="s">
        <v>549</v>
      </c>
      <c r="B14" s="813"/>
      <c r="C14" s="813"/>
      <c r="D14" s="819" t="s">
        <v>550</v>
      </c>
      <c r="E14" s="812"/>
      <c r="F14" s="819" t="s">
        <v>551</v>
      </c>
      <c r="G14" s="820" t="s">
        <v>552</v>
      </c>
      <c r="H14" s="821" t="s">
        <v>553</v>
      </c>
      <c r="I14" s="819" t="s">
        <v>554</v>
      </c>
      <c r="J14" s="822"/>
      <c r="K14" s="819" t="s">
        <v>555</v>
      </c>
    </row>
    <row r="15" spans="1:11" ht="15.75">
      <c r="A15" s="818" t="s">
        <v>556</v>
      </c>
      <c r="B15" s="813"/>
      <c r="C15" s="813"/>
      <c r="D15" s="516"/>
      <c r="E15" s="823"/>
      <c r="F15" s="1244">
        <f>'WS Q NITS'!F15</f>
        <v>4.0949999999999997E-3</v>
      </c>
      <c r="G15" s="332"/>
      <c r="H15" s="516"/>
      <c r="I15" s="516"/>
      <c r="J15" s="516"/>
      <c r="K15" s="516"/>
    </row>
    <row r="16" spans="1:11" ht="15.75">
      <c r="A16" s="818"/>
      <c r="B16" s="813"/>
      <c r="C16" s="813"/>
      <c r="D16" s="516"/>
      <c r="E16" s="823"/>
      <c r="F16" s="823"/>
      <c r="G16" s="812"/>
      <c r="H16" s="516"/>
      <c r="I16" s="516"/>
      <c r="J16" s="516"/>
      <c r="K16" s="516"/>
    </row>
    <row r="17" spans="1:11" ht="15.75">
      <c r="A17" s="818" t="s">
        <v>1363</v>
      </c>
      <c r="B17" s="813"/>
      <c r="C17" s="813"/>
      <c r="D17" s="516"/>
      <c r="E17" s="823"/>
      <c r="F17" s="823"/>
      <c r="G17" s="812"/>
      <c r="H17" s="516"/>
      <c r="I17" s="516"/>
      <c r="J17" s="516"/>
      <c r="K17" s="516"/>
    </row>
    <row r="18" spans="1:11" ht="15.75">
      <c r="A18" s="824" t="s">
        <v>114</v>
      </c>
      <c r="B18" s="813"/>
      <c r="C18" s="813"/>
      <c r="D18" s="813"/>
      <c r="E18" s="813"/>
      <c r="F18" s="813" t="s">
        <v>114</v>
      </c>
      <c r="G18" s="516"/>
      <c r="H18" s="516"/>
      <c r="I18" s="516"/>
      <c r="J18" s="516"/>
      <c r="K18" s="516"/>
    </row>
    <row r="19" spans="1:11" ht="15.75">
      <c r="A19" s="825"/>
      <c r="B19" s="813"/>
      <c r="C19" s="813"/>
      <c r="D19" s="813"/>
      <c r="E19" s="813"/>
      <c r="F19" s="516"/>
      <c r="G19" s="516"/>
      <c r="H19" s="820"/>
      <c r="I19" s="813"/>
      <c r="J19" s="813"/>
      <c r="K19" s="813"/>
    </row>
    <row r="20" spans="1:11" ht="15.75">
      <c r="A20" s="825" t="s">
        <v>557</v>
      </c>
      <c r="B20" s="813"/>
      <c r="C20" s="813"/>
      <c r="D20" s="813"/>
      <c r="E20" s="813"/>
      <c r="F20" s="516"/>
      <c r="G20" s="516"/>
      <c r="H20" s="820" t="s">
        <v>558</v>
      </c>
      <c r="I20" s="813"/>
      <c r="J20" s="813"/>
      <c r="K20" s="813"/>
    </row>
    <row r="21" spans="1:11" ht="15.75">
      <c r="A21" s="802" t="s">
        <v>185</v>
      </c>
      <c r="B21" s="802" t="str">
        <f>"Year 2018"</f>
        <v>Year 2018</v>
      </c>
      <c r="C21" s="802"/>
      <c r="D21" s="826">
        <f>H10/12</f>
        <v>0</v>
      </c>
      <c r="E21" s="826"/>
      <c r="F21" s="827">
        <f>+F15</f>
        <v>4.0949999999999997E-3</v>
      </c>
      <c r="G21" s="828">
        <v>12</v>
      </c>
      <c r="H21" s="826">
        <f>F21*D21*G21*-1</f>
        <v>0</v>
      </c>
      <c r="I21" s="826"/>
      <c r="J21" s="826"/>
      <c r="K21" s="826">
        <f>(-H21+D21)*-1</f>
        <v>0</v>
      </c>
    </row>
    <row r="22" spans="1:11" ht="15.75">
      <c r="A22" s="802" t="s">
        <v>559</v>
      </c>
      <c r="B22" s="802" t="str">
        <f>B21</f>
        <v>Year 2018</v>
      </c>
      <c r="C22" s="802"/>
      <c r="D22" s="826">
        <f>+D21</f>
        <v>0</v>
      </c>
      <c r="E22" s="826"/>
      <c r="F22" s="827">
        <f>+F21</f>
        <v>4.0949999999999997E-3</v>
      </c>
      <c r="G22" s="828">
        <f t="shared" ref="G22:G32" si="0">+G21-1</f>
        <v>11</v>
      </c>
      <c r="H22" s="826">
        <f t="shared" ref="H22:H32" si="1">F22*D22*G22*-1</f>
        <v>0</v>
      </c>
      <c r="I22" s="826"/>
      <c r="J22" s="826"/>
      <c r="K22" s="826">
        <f t="shared" ref="K22:K32" si="2">(-H22+D22)*-1</f>
        <v>0</v>
      </c>
    </row>
    <row r="23" spans="1:11" ht="15.75">
      <c r="A23" s="802" t="s">
        <v>186</v>
      </c>
      <c r="B23" s="802" t="str">
        <f t="shared" ref="B23:B32" si="3">B22</f>
        <v>Year 2018</v>
      </c>
      <c r="C23" s="802"/>
      <c r="D23" s="826">
        <f t="shared" ref="D23:D32" si="4">+D22</f>
        <v>0</v>
      </c>
      <c r="E23" s="826"/>
      <c r="F23" s="827">
        <f t="shared" ref="F23:F32" si="5">+F22</f>
        <v>4.0949999999999997E-3</v>
      </c>
      <c r="G23" s="828">
        <f t="shared" si="0"/>
        <v>10</v>
      </c>
      <c r="H23" s="826">
        <f t="shared" si="1"/>
        <v>0</v>
      </c>
      <c r="I23" s="826"/>
      <c r="J23" s="826"/>
      <c r="K23" s="826">
        <f t="shared" si="2"/>
        <v>0</v>
      </c>
    </row>
    <row r="24" spans="1:11" ht="15.75">
      <c r="A24" s="802" t="s">
        <v>187</v>
      </c>
      <c r="B24" s="802" t="str">
        <f t="shared" si="3"/>
        <v>Year 2018</v>
      </c>
      <c r="C24" s="802"/>
      <c r="D24" s="826">
        <f t="shared" si="4"/>
        <v>0</v>
      </c>
      <c r="E24" s="826"/>
      <c r="F24" s="827">
        <f t="shared" si="5"/>
        <v>4.0949999999999997E-3</v>
      </c>
      <c r="G24" s="828">
        <f t="shared" si="0"/>
        <v>9</v>
      </c>
      <c r="H24" s="826">
        <f t="shared" si="1"/>
        <v>0</v>
      </c>
      <c r="I24" s="826"/>
      <c r="J24" s="826"/>
      <c r="K24" s="826">
        <f t="shared" si="2"/>
        <v>0</v>
      </c>
    </row>
    <row r="25" spans="1:11" ht="15.75">
      <c r="A25" s="802" t="s">
        <v>188</v>
      </c>
      <c r="B25" s="802" t="str">
        <f t="shared" si="3"/>
        <v>Year 2018</v>
      </c>
      <c r="C25" s="802"/>
      <c r="D25" s="826">
        <f t="shared" si="4"/>
        <v>0</v>
      </c>
      <c r="E25" s="826"/>
      <c r="F25" s="827">
        <f t="shared" si="5"/>
        <v>4.0949999999999997E-3</v>
      </c>
      <c r="G25" s="828">
        <f t="shared" si="0"/>
        <v>8</v>
      </c>
      <c r="H25" s="826">
        <f t="shared" si="1"/>
        <v>0</v>
      </c>
      <c r="I25" s="826"/>
      <c r="J25" s="826"/>
      <c r="K25" s="826">
        <f t="shared" si="2"/>
        <v>0</v>
      </c>
    </row>
    <row r="26" spans="1:11" ht="15.75">
      <c r="A26" s="802" t="s">
        <v>382</v>
      </c>
      <c r="B26" s="802" t="str">
        <f t="shared" si="3"/>
        <v>Year 2018</v>
      </c>
      <c r="C26" s="802"/>
      <c r="D26" s="826">
        <f t="shared" si="4"/>
        <v>0</v>
      </c>
      <c r="E26" s="826"/>
      <c r="F26" s="827">
        <f t="shared" si="5"/>
        <v>4.0949999999999997E-3</v>
      </c>
      <c r="G26" s="828">
        <f t="shared" si="0"/>
        <v>7</v>
      </c>
      <c r="H26" s="826">
        <f t="shared" si="1"/>
        <v>0</v>
      </c>
      <c r="I26" s="826"/>
      <c r="J26" s="826"/>
      <c r="K26" s="826">
        <f t="shared" si="2"/>
        <v>0</v>
      </c>
    </row>
    <row r="27" spans="1:11" ht="15.75">
      <c r="A27" s="802" t="s">
        <v>189</v>
      </c>
      <c r="B27" s="802" t="str">
        <f t="shared" si="3"/>
        <v>Year 2018</v>
      </c>
      <c r="C27" s="802"/>
      <c r="D27" s="826">
        <f t="shared" si="4"/>
        <v>0</v>
      </c>
      <c r="E27" s="826"/>
      <c r="F27" s="827">
        <f t="shared" si="5"/>
        <v>4.0949999999999997E-3</v>
      </c>
      <c r="G27" s="828">
        <f t="shared" si="0"/>
        <v>6</v>
      </c>
      <c r="H27" s="826">
        <f t="shared" si="1"/>
        <v>0</v>
      </c>
      <c r="I27" s="826"/>
      <c r="J27" s="826"/>
      <c r="K27" s="826">
        <f t="shared" si="2"/>
        <v>0</v>
      </c>
    </row>
    <row r="28" spans="1:11" ht="15.75">
      <c r="A28" s="802" t="s">
        <v>190</v>
      </c>
      <c r="B28" s="802" t="str">
        <f t="shared" si="3"/>
        <v>Year 2018</v>
      </c>
      <c r="C28" s="802"/>
      <c r="D28" s="826">
        <f t="shared" si="4"/>
        <v>0</v>
      </c>
      <c r="E28" s="826"/>
      <c r="F28" s="827">
        <f t="shared" si="5"/>
        <v>4.0949999999999997E-3</v>
      </c>
      <c r="G28" s="828">
        <f t="shared" si="0"/>
        <v>5</v>
      </c>
      <c r="H28" s="826">
        <f t="shared" si="1"/>
        <v>0</v>
      </c>
      <c r="I28" s="826"/>
      <c r="J28" s="826"/>
      <c r="K28" s="826">
        <f t="shared" si="2"/>
        <v>0</v>
      </c>
    </row>
    <row r="29" spans="1:11" ht="15.75">
      <c r="A29" s="802" t="s">
        <v>192</v>
      </c>
      <c r="B29" s="802" t="str">
        <f t="shared" si="3"/>
        <v>Year 2018</v>
      </c>
      <c r="C29" s="802"/>
      <c r="D29" s="826">
        <f t="shared" si="4"/>
        <v>0</v>
      </c>
      <c r="E29" s="826"/>
      <c r="F29" s="827">
        <f t="shared" si="5"/>
        <v>4.0949999999999997E-3</v>
      </c>
      <c r="G29" s="828">
        <f t="shared" si="0"/>
        <v>4</v>
      </c>
      <c r="H29" s="826">
        <f t="shared" si="1"/>
        <v>0</v>
      </c>
      <c r="I29" s="826"/>
      <c r="J29" s="826"/>
      <c r="K29" s="826">
        <f t="shared" si="2"/>
        <v>0</v>
      </c>
    </row>
    <row r="30" spans="1:11" ht="15.75">
      <c r="A30" s="802" t="s">
        <v>560</v>
      </c>
      <c r="B30" s="802" t="str">
        <f t="shared" si="3"/>
        <v>Year 2018</v>
      </c>
      <c r="C30" s="802"/>
      <c r="D30" s="826">
        <f t="shared" si="4"/>
        <v>0</v>
      </c>
      <c r="E30" s="826"/>
      <c r="F30" s="827">
        <f t="shared" si="5"/>
        <v>4.0949999999999997E-3</v>
      </c>
      <c r="G30" s="828">
        <f t="shared" si="0"/>
        <v>3</v>
      </c>
      <c r="H30" s="826">
        <f t="shared" si="1"/>
        <v>0</v>
      </c>
      <c r="I30" s="826"/>
      <c r="J30" s="826"/>
      <c r="K30" s="826">
        <f t="shared" si="2"/>
        <v>0</v>
      </c>
    </row>
    <row r="31" spans="1:11" ht="15.75">
      <c r="A31" s="802" t="s">
        <v>561</v>
      </c>
      <c r="B31" s="802" t="str">
        <f t="shared" si="3"/>
        <v>Year 2018</v>
      </c>
      <c r="C31" s="802"/>
      <c r="D31" s="826">
        <f t="shared" si="4"/>
        <v>0</v>
      </c>
      <c r="E31" s="826"/>
      <c r="F31" s="827">
        <f t="shared" si="5"/>
        <v>4.0949999999999997E-3</v>
      </c>
      <c r="G31" s="828">
        <f t="shared" si="0"/>
        <v>2</v>
      </c>
      <c r="H31" s="826">
        <f t="shared" si="1"/>
        <v>0</v>
      </c>
      <c r="I31" s="826"/>
      <c r="J31" s="826"/>
      <c r="K31" s="826">
        <f t="shared" si="2"/>
        <v>0</v>
      </c>
    </row>
    <row r="32" spans="1:11" ht="15.75">
      <c r="A32" s="802" t="s">
        <v>191</v>
      </c>
      <c r="B32" s="802" t="str">
        <f t="shared" si="3"/>
        <v>Year 2018</v>
      </c>
      <c r="C32" s="802"/>
      <c r="D32" s="826">
        <f t="shared" si="4"/>
        <v>0</v>
      </c>
      <c r="E32" s="826"/>
      <c r="F32" s="827">
        <f t="shared" si="5"/>
        <v>4.0949999999999997E-3</v>
      </c>
      <c r="G32" s="828">
        <f t="shared" si="0"/>
        <v>1</v>
      </c>
      <c r="H32" s="829">
        <f t="shared" si="1"/>
        <v>0</v>
      </c>
      <c r="I32" s="826"/>
      <c r="J32" s="826"/>
      <c r="K32" s="826">
        <f t="shared" si="2"/>
        <v>0</v>
      </c>
    </row>
    <row r="33" spans="1:11" ht="15.75">
      <c r="A33" s="802"/>
      <c r="B33" s="802"/>
      <c r="C33" s="802"/>
      <c r="D33" s="826"/>
      <c r="E33" s="826"/>
      <c r="F33" s="827"/>
      <c r="G33" s="802"/>
      <c r="H33" s="826">
        <f>SUM(H21:H32)</f>
        <v>0</v>
      </c>
      <c r="I33" s="826"/>
      <c r="J33" s="826"/>
      <c r="K33" s="830">
        <f>SUM(K21:K32)</f>
        <v>0</v>
      </c>
    </row>
    <row r="34" spans="1:11" ht="15.75">
      <c r="A34" s="802"/>
      <c r="B34" s="802"/>
      <c r="C34" s="802"/>
      <c r="D34" s="826"/>
      <c r="E34" s="826"/>
      <c r="F34" s="827"/>
      <c r="G34" s="802"/>
      <c r="H34" s="826"/>
      <c r="I34" s="826" t="s">
        <v>114</v>
      </c>
      <c r="J34" s="826"/>
      <c r="K34" s="516"/>
    </row>
    <row r="35" spans="1:11" ht="15.75">
      <c r="A35" s="802"/>
      <c r="B35" s="802"/>
      <c r="C35" s="802"/>
      <c r="D35" s="812"/>
      <c r="E35" s="812"/>
      <c r="F35" s="827"/>
      <c r="G35" s="802"/>
      <c r="H35" s="831" t="s">
        <v>562</v>
      </c>
      <c r="I35" s="826"/>
      <c r="J35" s="826"/>
      <c r="K35" s="826"/>
    </row>
    <row r="36" spans="1:11" ht="15.75">
      <c r="A36" s="802" t="s">
        <v>563</v>
      </c>
      <c r="B36" s="802" t="str">
        <f>"Year 2019"</f>
        <v>Year 2019</v>
      </c>
      <c r="C36" s="802"/>
      <c r="D36" s="812">
        <f>K33</f>
        <v>0</v>
      </c>
      <c r="E36" s="812"/>
      <c r="F36" s="827">
        <f>+F32</f>
        <v>4.0949999999999997E-3</v>
      </c>
      <c r="G36" s="828">
        <v>12</v>
      </c>
      <c r="H36" s="826">
        <f>+G36*F36*D36</f>
        <v>0</v>
      </c>
      <c r="I36" s="826"/>
      <c r="J36" s="826"/>
      <c r="K36" s="830">
        <f>+D36+H36</f>
        <v>0</v>
      </c>
    </row>
    <row r="37" spans="1:11" ht="15.75">
      <c r="A37" s="802"/>
      <c r="B37" s="802"/>
      <c r="C37" s="802"/>
      <c r="D37" s="812"/>
      <c r="E37" s="812"/>
      <c r="F37" s="827"/>
      <c r="G37" s="802"/>
      <c r="H37" s="826"/>
      <c r="I37" s="826"/>
      <c r="J37" s="826"/>
      <c r="K37" s="826"/>
    </row>
    <row r="38" spans="1:11" ht="15.75">
      <c r="A38" s="832" t="s">
        <v>564</v>
      </c>
      <c r="B38" s="802"/>
      <c r="C38" s="802"/>
      <c r="D38" s="826"/>
      <c r="E38" s="826"/>
      <c r="F38" s="827"/>
      <c r="G38" s="802"/>
      <c r="H38" s="831" t="s">
        <v>558</v>
      </c>
      <c r="I38" s="826"/>
      <c r="J38" s="826"/>
      <c r="K38" s="826"/>
    </row>
    <row r="39" spans="1:11" ht="15.75">
      <c r="A39" s="802" t="s">
        <v>185</v>
      </c>
      <c r="B39" s="802" t="str">
        <f>"Year 2020"</f>
        <v>Year 2020</v>
      </c>
      <c r="C39" s="802"/>
      <c r="D39" s="812">
        <f>-K36</f>
        <v>0</v>
      </c>
      <c r="E39" s="812"/>
      <c r="F39" s="827">
        <f>+F32</f>
        <v>4.0949999999999997E-3</v>
      </c>
      <c r="G39" s="802"/>
      <c r="H39" s="826">
        <f xml:space="preserve"> -F39*D39</f>
        <v>0</v>
      </c>
      <c r="I39" s="826">
        <f>PMT(F39,12,K$36)</f>
        <v>0</v>
      </c>
      <c r="J39" s="826"/>
      <c r="K39" s="826">
        <f>(+D39+D39*F39-I39)*-1</f>
        <v>0</v>
      </c>
    </row>
    <row r="40" spans="1:11" ht="15.75">
      <c r="A40" s="802" t="s">
        <v>559</v>
      </c>
      <c r="B40" s="802" t="str">
        <f>+B39</f>
        <v>Year 2020</v>
      </c>
      <c r="C40" s="802"/>
      <c r="D40" s="812">
        <f>-K39</f>
        <v>0</v>
      </c>
      <c r="E40" s="812"/>
      <c r="F40" s="827">
        <f>+F39</f>
        <v>4.0949999999999997E-3</v>
      </c>
      <c r="G40" s="802"/>
      <c r="H40" s="826">
        <f xml:space="preserve"> -F40*D40</f>
        <v>0</v>
      </c>
      <c r="I40" s="826">
        <f>I39</f>
        <v>0</v>
      </c>
      <c r="J40" s="826"/>
      <c r="K40" s="826">
        <f t="shared" ref="K40:K50" si="6">(+D40+D40*F40-I40)*-1</f>
        <v>0</v>
      </c>
    </row>
    <row r="41" spans="1:11" ht="15.75">
      <c r="A41" s="802" t="s">
        <v>186</v>
      </c>
      <c r="B41" s="802" t="str">
        <f>+B40</f>
        <v>Year 2020</v>
      </c>
      <c r="C41" s="802"/>
      <c r="D41" s="812">
        <f t="shared" ref="D41:D50" si="7">-K40</f>
        <v>0</v>
      </c>
      <c r="E41" s="812"/>
      <c r="F41" s="827">
        <f t="shared" ref="F41:F50" si="8">+F40</f>
        <v>4.0949999999999997E-3</v>
      </c>
      <c r="G41" s="802"/>
      <c r="H41" s="826">
        <f t="shared" ref="H41:H50" si="9" xml:space="preserve"> -F41*D41</f>
        <v>0</v>
      </c>
      <c r="I41" s="826">
        <f t="shared" ref="I41:I50" si="10">I40</f>
        <v>0</v>
      </c>
      <c r="J41" s="826"/>
      <c r="K41" s="826">
        <f t="shared" si="6"/>
        <v>0</v>
      </c>
    </row>
    <row r="42" spans="1:11" ht="15.75">
      <c r="A42" s="802" t="s">
        <v>187</v>
      </c>
      <c r="B42" s="802" t="str">
        <f>+B41</f>
        <v>Year 2020</v>
      </c>
      <c r="C42" s="802"/>
      <c r="D42" s="812">
        <f t="shared" si="7"/>
        <v>0</v>
      </c>
      <c r="E42" s="812"/>
      <c r="F42" s="827">
        <f t="shared" si="8"/>
        <v>4.0949999999999997E-3</v>
      </c>
      <c r="G42" s="802"/>
      <c r="H42" s="826">
        <f t="shared" si="9"/>
        <v>0</v>
      </c>
      <c r="I42" s="826">
        <f t="shared" si="10"/>
        <v>0</v>
      </c>
      <c r="J42" s="826"/>
      <c r="K42" s="826">
        <f t="shared" si="6"/>
        <v>0</v>
      </c>
    </row>
    <row r="43" spans="1:11" ht="15.75">
      <c r="A43" s="802" t="s">
        <v>188</v>
      </c>
      <c r="B43" s="802" t="str">
        <f>+B42</f>
        <v>Year 2020</v>
      </c>
      <c r="C43" s="802"/>
      <c r="D43" s="812">
        <f t="shared" si="7"/>
        <v>0</v>
      </c>
      <c r="E43" s="812"/>
      <c r="F43" s="827">
        <f t="shared" si="8"/>
        <v>4.0949999999999997E-3</v>
      </c>
      <c r="G43" s="802"/>
      <c r="H43" s="826">
        <f t="shared" si="9"/>
        <v>0</v>
      </c>
      <c r="I43" s="826">
        <f>I42</f>
        <v>0</v>
      </c>
      <c r="J43" s="826"/>
      <c r="K43" s="826">
        <f t="shared" si="6"/>
        <v>0</v>
      </c>
    </row>
    <row r="44" spans="1:11" ht="15.75">
      <c r="A44" s="802" t="s">
        <v>382</v>
      </c>
      <c r="B44" s="802" t="str">
        <f>B43</f>
        <v>Year 2020</v>
      </c>
      <c r="C44" s="516"/>
      <c r="D44" s="812">
        <f t="shared" si="7"/>
        <v>0</v>
      </c>
      <c r="E44" s="812"/>
      <c r="F44" s="827">
        <f t="shared" si="8"/>
        <v>4.0949999999999997E-3</v>
      </c>
      <c r="G44" s="802"/>
      <c r="H44" s="826">
        <f t="shared" si="9"/>
        <v>0</v>
      </c>
      <c r="I44" s="826">
        <f t="shared" si="10"/>
        <v>0</v>
      </c>
      <c r="J44" s="826"/>
      <c r="K44" s="826">
        <f t="shared" si="6"/>
        <v>0</v>
      </c>
    </row>
    <row r="45" spans="1:11" ht="15.75">
      <c r="A45" s="802" t="s">
        <v>189</v>
      </c>
      <c r="B45" s="802" t="str">
        <f t="shared" ref="B45:B50" si="11">+B44</f>
        <v>Year 2020</v>
      </c>
      <c r="C45" s="802"/>
      <c r="D45" s="812">
        <f t="shared" si="7"/>
        <v>0</v>
      </c>
      <c r="E45" s="812"/>
      <c r="F45" s="827">
        <f t="shared" si="8"/>
        <v>4.0949999999999997E-3</v>
      </c>
      <c r="G45" s="802"/>
      <c r="H45" s="826">
        <f t="shared" si="9"/>
        <v>0</v>
      </c>
      <c r="I45" s="826">
        <f t="shared" si="10"/>
        <v>0</v>
      </c>
      <c r="J45" s="826"/>
      <c r="K45" s="826">
        <f t="shared" si="6"/>
        <v>0</v>
      </c>
    </row>
    <row r="46" spans="1:11" ht="15.75">
      <c r="A46" s="802" t="s">
        <v>190</v>
      </c>
      <c r="B46" s="802" t="str">
        <f t="shared" si="11"/>
        <v>Year 2020</v>
      </c>
      <c r="C46" s="802"/>
      <c r="D46" s="812">
        <f t="shared" si="7"/>
        <v>0</v>
      </c>
      <c r="E46" s="812"/>
      <c r="F46" s="827">
        <f t="shared" si="8"/>
        <v>4.0949999999999997E-3</v>
      </c>
      <c r="G46" s="802"/>
      <c r="H46" s="826">
        <f t="shared" si="9"/>
        <v>0</v>
      </c>
      <c r="I46" s="826">
        <f t="shared" si="10"/>
        <v>0</v>
      </c>
      <c r="J46" s="826"/>
      <c r="K46" s="826">
        <f t="shared" si="6"/>
        <v>0</v>
      </c>
    </row>
    <row r="47" spans="1:11" ht="15.75">
      <c r="A47" s="802" t="s">
        <v>192</v>
      </c>
      <c r="B47" s="802" t="str">
        <f t="shared" si="11"/>
        <v>Year 2020</v>
      </c>
      <c r="C47" s="802"/>
      <c r="D47" s="812">
        <f t="shared" si="7"/>
        <v>0</v>
      </c>
      <c r="E47" s="812"/>
      <c r="F47" s="827">
        <f t="shared" si="8"/>
        <v>4.0949999999999997E-3</v>
      </c>
      <c r="G47" s="802"/>
      <c r="H47" s="826">
        <f t="shared" si="9"/>
        <v>0</v>
      </c>
      <c r="I47" s="826">
        <f>I46</f>
        <v>0</v>
      </c>
      <c r="J47" s="826"/>
      <c r="K47" s="826">
        <f t="shared" si="6"/>
        <v>0</v>
      </c>
    </row>
    <row r="48" spans="1:11" ht="15.75">
      <c r="A48" s="802" t="s">
        <v>560</v>
      </c>
      <c r="B48" s="802" t="str">
        <f t="shared" si="11"/>
        <v>Year 2020</v>
      </c>
      <c r="C48" s="802"/>
      <c r="D48" s="812">
        <f t="shared" si="7"/>
        <v>0</v>
      </c>
      <c r="E48" s="812"/>
      <c r="F48" s="827">
        <f t="shared" si="8"/>
        <v>4.0949999999999997E-3</v>
      </c>
      <c r="G48" s="802"/>
      <c r="H48" s="826">
        <f t="shared" si="9"/>
        <v>0</v>
      </c>
      <c r="I48" s="826">
        <f t="shared" si="10"/>
        <v>0</v>
      </c>
      <c r="J48" s="826"/>
      <c r="K48" s="826">
        <f t="shared" si="6"/>
        <v>0</v>
      </c>
    </row>
    <row r="49" spans="1:11" ht="15.75">
      <c r="A49" s="802" t="s">
        <v>561</v>
      </c>
      <c r="B49" s="802" t="str">
        <f t="shared" si="11"/>
        <v>Year 2020</v>
      </c>
      <c r="C49" s="802"/>
      <c r="D49" s="812">
        <f t="shared" si="7"/>
        <v>0</v>
      </c>
      <c r="E49" s="812"/>
      <c r="F49" s="827">
        <f t="shared" si="8"/>
        <v>4.0949999999999997E-3</v>
      </c>
      <c r="G49" s="802"/>
      <c r="H49" s="826">
        <f t="shared" si="9"/>
        <v>0</v>
      </c>
      <c r="I49" s="826">
        <f t="shared" si="10"/>
        <v>0</v>
      </c>
      <c r="J49" s="826"/>
      <c r="K49" s="826">
        <f t="shared" si="6"/>
        <v>0</v>
      </c>
    </row>
    <row r="50" spans="1:11" ht="15.75">
      <c r="A50" s="802" t="s">
        <v>191</v>
      </c>
      <c r="B50" s="802" t="str">
        <f t="shared" si="11"/>
        <v>Year 2020</v>
      </c>
      <c r="C50" s="802"/>
      <c r="D50" s="812">
        <f t="shared" si="7"/>
        <v>0</v>
      </c>
      <c r="E50" s="812"/>
      <c r="F50" s="827">
        <f t="shared" si="8"/>
        <v>4.0949999999999997E-3</v>
      </c>
      <c r="G50" s="802"/>
      <c r="H50" s="829">
        <f t="shared" si="9"/>
        <v>0</v>
      </c>
      <c r="I50" s="826">
        <f t="shared" si="10"/>
        <v>0</v>
      </c>
      <c r="J50" s="826"/>
      <c r="K50" s="826">
        <f t="shared" si="6"/>
        <v>0</v>
      </c>
    </row>
    <row r="51" spans="1:11" ht="15.75">
      <c r="A51" s="802"/>
      <c r="B51" s="802"/>
      <c r="C51" s="802"/>
      <c r="D51" s="812"/>
      <c r="E51" s="812"/>
      <c r="F51" s="827"/>
      <c r="G51" s="802"/>
      <c r="H51" s="826">
        <f>SUM(H39:H50)</f>
        <v>0</v>
      </c>
      <c r="I51" s="826"/>
      <c r="J51" s="826"/>
      <c r="K51" s="826"/>
    </row>
    <row r="52" spans="1:11" ht="15">
      <c r="A52" s="516"/>
      <c r="B52" s="516"/>
      <c r="C52" s="516"/>
      <c r="D52" s="516"/>
      <c r="E52" s="516"/>
      <c r="F52" s="516"/>
      <c r="G52" s="516"/>
      <c r="H52" s="516"/>
      <c r="I52" s="833"/>
      <c r="J52" s="516"/>
      <c r="K52" s="516"/>
    </row>
    <row r="53" spans="1:11" ht="15.75">
      <c r="A53" s="802" t="s">
        <v>569</v>
      </c>
      <c r="B53" s="516"/>
      <c r="C53" s="516"/>
      <c r="D53" s="516"/>
      <c r="E53" s="516"/>
      <c r="F53" s="516"/>
      <c r="G53" s="516"/>
      <c r="H53" s="516"/>
      <c r="I53" s="834">
        <f>(SUM(I39:I50)*-1)</f>
        <v>0</v>
      </c>
      <c r="J53" s="516"/>
      <c r="K53" s="516"/>
    </row>
    <row r="54" spans="1:11" ht="15.75">
      <c r="A54" s="802" t="s">
        <v>565</v>
      </c>
      <c r="B54" s="516"/>
      <c r="C54" s="516"/>
      <c r="D54" s="516"/>
      <c r="E54" s="516"/>
      <c r="F54" s="516"/>
      <c r="G54" s="516"/>
      <c r="H54" s="516"/>
      <c r="I54" s="835">
        <f>+H10</f>
        <v>0</v>
      </c>
      <c r="J54" s="516"/>
      <c r="K54" s="516"/>
    </row>
    <row r="55" spans="1:11" ht="15.75">
      <c r="A55" s="802" t="s">
        <v>566</v>
      </c>
      <c r="B55" s="516"/>
      <c r="C55" s="516"/>
      <c r="D55" s="516"/>
      <c r="E55" s="516"/>
      <c r="F55" s="516"/>
      <c r="G55" s="516"/>
      <c r="H55" s="516"/>
      <c r="I55" s="834">
        <f>(I53+I54)</f>
        <v>0</v>
      </c>
      <c r="J55" s="516"/>
      <c r="K55" s="516"/>
    </row>
    <row r="56" spans="1:11">
      <c r="A56" s="413"/>
      <c r="B56" s="413"/>
      <c r="C56" s="413"/>
      <c r="D56" s="413"/>
      <c r="E56" s="413"/>
      <c r="F56" s="413"/>
      <c r="G56" s="413"/>
      <c r="H56" s="413"/>
      <c r="I56" s="413"/>
      <c r="J56" s="413"/>
      <c r="K56" s="413"/>
    </row>
    <row r="57" spans="1:11" ht="109.5" customHeight="1">
      <c r="A57" s="1592" t="s">
        <v>570</v>
      </c>
      <c r="B57" s="1592"/>
      <c r="C57" s="1592"/>
      <c r="D57" s="1592"/>
      <c r="E57" s="836"/>
      <c r="F57" s="836"/>
      <c r="G57" s="836"/>
      <c r="H57" s="836"/>
      <c r="I57" s="836"/>
      <c r="J57" s="836"/>
      <c r="K57" s="836"/>
    </row>
  </sheetData>
  <mergeCells count="5">
    <mergeCell ref="A1:K1"/>
    <mergeCell ref="A2:K2"/>
    <mergeCell ref="A3:K3"/>
    <mergeCell ref="D4:G4"/>
    <mergeCell ref="A57:D57"/>
  </mergeCells>
  <pageMargins left="0.7" right="0.7" top="0.75" bottom="0.75" header="0.3" footer="0.3"/>
  <pageSetup scale="5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topLeftCell="A10" zoomScale="60" zoomScaleNormal="100" workbookViewId="0">
      <selection activeCell="W16" sqref="W16:W17"/>
    </sheetView>
  </sheetViews>
  <sheetFormatPr defaultRowHeight="12.75"/>
  <cols>
    <col min="1" max="1" width="23" customWidth="1"/>
    <col min="4" max="4" width="19.42578125" customWidth="1"/>
    <col min="6" max="6" width="17" customWidth="1"/>
    <col min="8" max="8" width="19.140625" customWidth="1"/>
    <col min="9" max="9" width="15.42578125" customWidth="1"/>
    <col min="11" max="11" width="22.42578125" customWidth="1"/>
  </cols>
  <sheetData>
    <row r="1" spans="1:11" ht="15.75">
      <c r="A1" s="1591" t="s">
        <v>387</v>
      </c>
      <c r="B1" s="1591"/>
      <c r="C1" s="1591"/>
      <c r="D1" s="1591"/>
      <c r="E1" s="1591"/>
      <c r="F1" s="1591"/>
      <c r="G1" s="1591"/>
      <c r="H1" s="1591"/>
      <c r="I1" s="1591"/>
      <c r="J1" s="1591"/>
      <c r="K1" s="1591"/>
    </row>
    <row r="2" spans="1:11" ht="15.75">
      <c r="A2" s="1590" t="s">
        <v>567</v>
      </c>
      <c r="B2" s="1590"/>
      <c r="C2" s="1590"/>
      <c r="D2" s="1590"/>
      <c r="E2" s="1590"/>
      <c r="F2" s="1590"/>
      <c r="G2" s="1590"/>
      <c r="H2" s="1590"/>
      <c r="I2" s="1590"/>
      <c r="J2" s="1590"/>
      <c r="K2" s="1590"/>
    </row>
    <row r="3" spans="1:11" ht="15.75">
      <c r="A3" s="1590" t="s">
        <v>568</v>
      </c>
      <c r="B3" s="1590"/>
      <c r="C3" s="1590"/>
      <c r="D3" s="1590"/>
      <c r="E3" s="1590"/>
      <c r="F3" s="1590"/>
      <c r="G3" s="1590"/>
      <c r="H3" s="1590"/>
      <c r="I3" s="1590"/>
      <c r="J3" s="1590"/>
      <c r="K3" s="1590"/>
    </row>
    <row r="4" spans="1:11" ht="15.75">
      <c r="A4" s="516"/>
      <c r="B4" s="516"/>
      <c r="C4" s="516"/>
      <c r="D4" s="1590"/>
      <c r="E4" s="1590"/>
      <c r="F4" s="1590"/>
      <c r="G4" s="1590"/>
      <c r="H4" s="516"/>
      <c r="I4" s="516"/>
      <c r="J4" s="516"/>
      <c r="K4" s="516"/>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5" thickBot="1">
      <c r="A7" s="801"/>
      <c r="B7" s="802"/>
      <c r="C7" s="802"/>
      <c r="D7" s="802"/>
      <c r="E7" s="802"/>
      <c r="F7" s="802"/>
      <c r="G7" s="802"/>
      <c r="H7" s="802"/>
      <c r="I7" s="802"/>
      <c r="J7" s="802"/>
      <c r="K7" s="802"/>
    </row>
    <row r="8" spans="1:11" ht="63">
      <c r="A8" s="803" t="str">
        <f>"Reconciliation Revenue Requirement For Year 2018 Available May 25, 2019"</f>
        <v>Reconciliation Revenue Requirement For Year 2018 Available May 25, 2019</v>
      </c>
      <c r="B8" s="802"/>
      <c r="C8" s="802"/>
      <c r="D8" s="803" t="s">
        <v>1362</v>
      </c>
      <c r="E8" s="802"/>
      <c r="F8" s="802"/>
      <c r="G8" s="516"/>
      <c r="H8" s="803" t="s">
        <v>548</v>
      </c>
      <c r="I8" s="516"/>
      <c r="J8" s="516"/>
      <c r="K8" s="516"/>
    </row>
    <row r="9" spans="1:11" ht="15.75">
      <c r="A9" s="804" t="s">
        <v>114</v>
      </c>
      <c r="B9" s="802"/>
      <c r="C9" s="802"/>
      <c r="D9" s="804"/>
      <c r="E9" s="802"/>
      <c r="F9" s="802"/>
      <c r="G9" s="516"/>
      <c r="H9" s="805"/>
      <c r="I9" s="516"/>
      <c r="J9" s="516"/>
      <c r="K9" s="516"/>
    </row>
    <row r="10" spans="1:11" ht="16.5" thickBot="1">
      <c r="A10" s="888">
        <v>0</v>
      </c>
      <c r="B10" s="806" t="str">
        <f>"-"</f>
        <v>-</v>
      </c>
      <c r="C10" s="807"/>
      <c r="D10" s="888">
        <v>0</v>
      </c>
      <c r="E10" s="808"/>
      <c r="F10" s="809" t="str">
        <f>"="</f>
        <v>=</v>
      </c>
      <c r="G10" s="810"/>
      <c r="H10" s="811">
        <f>IF(A10=0,0,D10-A10)</f>
        <v>0</v>
      </c>
      <c r="I10" s="516"/>
      <c r="J10" s="516"/>
      <c r="K10" s="516"/>
    </row>
    <row r="11" spans="1:11" ht="15.75">
      <c r="A11" s="812"/>
      <c r="B11" s="813"/>
      <c r="C11" s="813"/>
      <c r="D11" s="812"/>
      <c r="E11" s="812"/>
      <c r="F11" s="813"/>
      <c r="G11" s="812"/>
      <c r="H11" s="516"/>
      <c r="I11" s="516"/>
      <c r="J11" s="516"/>
      <c r="K11" s="516"/>
    </row>
    <row r="12" spans="1:11" ht="16.5" thickBot="1">
      <c r="A12" s="814"/>
      <c r="B12" s="815"/>
      <c r="C12" s="815"/>
      <c r="D12" s="814"/>
      <c r="E12" s="814"/>
      <c r="F12" s="815"/>
      <c r="G12" s="814"/>
      <c r="H12" s="816"/>
      <c r="I12" s="816"/>
      <c r="J12" s="816"/>
      <c r="K12" s="816"/>
    </row>
    <row r="13" spans="1:11" ht="15.75">
      <c r="A13" s="817"/>
      <c r="B13" s="813"/>
      <c r="C13" s="813"/>
      <c r="D13" s="812"/>
      <c r="E13" s="812"/>
      <c r="F13" s="813"/>
      <c r="G13" s="812"/>
      <c r="H13" s="516"/>
      <c r="I13" s="516"/>
      <c r="J13" s="516"/>
      <c r="K13" s="516"/>
    </row>
    <row r="14" spans="1:11" ht="47.25">
      <c r="A14" s="818" t="s">
        <v>549</v>
      </c>
      <c r="B14" s="813"/>
      <c r="C14" s="813"/>
      <c r="D14" s="819" t="s">
        <v>550</v>
      </c>
      <c r="E14" s="812"/>
      <c r="F14" s="819" t="s">
        <v>551</v>
      </c>
      <c r="G14" s="820" t="s">
        <v>552</v>
      </c>
      <c r="H14" s="821" t="s">
        <v>553</v>
      </c>
      <c r="I14" s="819" t="s">
        <v>554</v>
      </c>
      <c r="J14" s="822"/>
      <c r="K14" s="819" t="s">
        <v>555</v>
      </c>
    </row>
    <row r="15" spans="1:11" ht="15.75">
      <c r="A15" s="818" t="s">
        <v>556</v>
      </c>
      <c r="B15" s="813"/>
      <c r="C15" s="813"/>
      <c r="D15" s="516"/>
      <c r="E15" s="823"/>
      <c r="F15" s="1244">
        <f>'WS Q NITS'!F15</f>
        <v>4.0949999999999997E-3</v>
      </c>
      <c r="G15" s="332"/>
      <c r="H15" s="516"/>
      <c r="I15" s="516"/>
      <c r="J15" s="516"/>
      <c r="K15" s="516"/>
    </row>
    <row r="16" spans="1:11" ht="15.75">
      <c r="A16" s="818"/>
      <c r="B16" s="813"/>
      <c r="C16" s="813"/>
      <c r="D16" s="516"/>
      <c r="E16" s="823"/>
      <c r="F16" s="823"/>
      <c r="G16" s="812"/>
      <c r="H16" s="516"/>
      <c r="I16" s="516"/>
      <c r="J16" s="516"/>
      <c r="K16" s="516"/>
    </row>
    <row r="17" spans="1:11" ht="15.75">
      <c r="A17" s="818" t="s">
        <v>1363</v>
      </c>
      <c r="B17" s="813"/>
      <c r="C17" s="813"/>
      <c r="D17" s="516"/>
      <c r="E17" s="823"/>
      <c r="F17" s="823"/>
      <c r="G17" s="812"/>
      <c r="H17" s="516"/>
      <c r="I17" s="516"/>
      <c r="J17" s="516"/>
      <c r="K17" s="516"/>
    </row>
    <row r="18" spans="1:11" ht="15.75">
      <c r="A18" s="824" t="s">
        <v>114</v>
      </c>
      <c r="B18" s="813"/>
      <c r="C18" s="813"/>
      <c r="D18" s="813"/>
      <c r="E18" s="813"/>
      <c r="F18" s="813" t="s">
        <v>114</v>
      </c>
      <c r="G18" s="516"/>
      <c r="H18" s="516"/>
      <c r="I18" s="516"/>
      <c r="J18" s="516"/>
      <c r="K18" s="516"/>
    </row>
    <row r="19" spans="1:11" ht="15.75">
      <c r="A19" s="825"/>
      <c r="B19" s="813"/>
      <c r="C19" s="813"/>
      <c r="D19" s="813"/>
      <c r="E19" s="813"/>
      <c r="F19" s="516"/>
      <c r="G19" s="516"/>
      <c r="H19" s="820"/>
      <c r="I19" s="813"/>
      <c r="J19" s="813"/>
      <c r="K19" s="813"/>
    </row>
    <row r="20" spans="1:11" ht="15.75">
      <c r="A20" s="825" t="s">
        <v>557</v>
      </c>
      <c r="B20" s="813"/>
      <c r="C20" s="813"/>
      <c r="D20" s="813"/>
      <c r="E20" s="813"/>
      <c r="F20" s="516"/>
      <c r="G20" s="516"/>
      <c r="H20" s="820" t="s">
        <v>558</v>
      </c>
      <c r="I20" s="813"/>
      <c r="J20" s="813"/>
      <c r="K20" s="813"/>
    </row>
    <row r="21" spans="1:11" ht="15.75">
      <c r="A21" s="802" t="s">
        <v>185</v>
      </c>
      <c r="B21" s="802" t="str">
        <f>"Year 2018"</f>
        <v>Year 2018</v>
      </c>
      <c r="C21" s="802"/>
      <c r="D21" s="826">
        <f>H10/12</f>
        <v>0</v>
      </c>
      <c r="E21" s="826"/>
      <c r="F21" s="827">
        <f>+F15</f>
        <v>4.0949999999999997E-3</v>
      </c>
      <c r="G21" s="828">
        <v>12</v>
      </c>
      <c r="H21" s="826">
        <f>F21*D21*G21*-1</f>
        <v>0</v>
      </c>
      <c r="I21" s="826"/>
      <c r="J21" s="826"/>
      <c r="K21" s="826">
        <f>(-H21+D21)*-1</f>
        <v>0</v>
      </c>
    </row>
    <row r="22" spans="1:11" ht="15.75">
      <c r="A22" s="802" t="s">
        <v>559</v>
      </c>
      <c r="B22" s="802" t="str">
        <f>B21</f>
        <v>Year 2018</v>
      </c>
      <c r="C22" s="802"/>
      <c r="D22" s="826">
        <f>+D21</f>
        <v>0</v>
      </c>
      <c r="E22" s="826"/>
      <c r="F22" s="827">
        <f>+F21</f>
        <v>4.0949999999999997E-3</v>
      </c>
      <c r="G22" s="828">
        <f t="shared" ref="G22:G32" si="0">+G21-1</f>
        <v>11</v>
      </c>
      <c r="H22" s="826">
        <f t="shared" ref="H22:H32" si="1">F22*D22*G22*-1</f>
        <v>0</v>
      </c>
      <c r="I22" s="826"/>
      <c r="J22" s="826"/>
      <c r="K22" s="826">
        <f t="shared" ref="K22:K32" si="2">(-H22+D22)*-1</f>
        <v>0</v>
      </c>
    </row>
    <row r="23" spans="1:11" ht="15.75">
      <c r="A23" s="802" t="s">
        <v>186</v>
      </c>
      <c r="B23" s="802" t="str">
        <f t="shared" ref="B23:B32" si="3">B22</f>
        <v>Year 2018</v>
      </c>
      <c r="C23" s="802"/>
      <c r="D23" s="826">
        <f t="shared" ref="D23:D32" si="4">+D22</f>
        <v>0</v>
      </c>
      <c r="E23" s="826"/>
      <c r="F23" s="827">
        <f t="shared" ref="F23:F32" si="5">+F22</f>
        <v>4.0949999999999997E-3</v>
      </c>
      <c r="G23" s="828">
        <f t="shared" si="0"/>
        <v>10</v>
      </c>
      <c r="H23" s="826">
        <f t="shared" si="1"/>
        <v>0</v>
      </c>
      <c r="I23" s="826"/>
      <c r="J23" s="826"/>
      <c r="K23" s="826">
        <f t="shared" si="2"/>
        <v>0</v>
      </c>
    </row>
    <row r="24" spans="1:11" ht="15.75">
      <c r="A24" s="802" t="s">
        <v>187</v>
      </c>
      <c r="B24" s="802" t="str">
        <f t="shared" si="3"/>
        <v>Year 2018</v>
      </c>
      <c r="C24" s="802"/>
      <c r="D24" s="826">
        <f t="shared" si="4"/>
        <v>0</v>
      </c>
      <c r="E24" s="826"/>
      <c r="F24" s="827">
        <f t="shared" si="5"/>
        <v>4.0949999999999997E-3</v>
      </c>
      <c r="G24" s="828">
        <f t="shared" si="0"/>
        <v>9</v>
      </c>
      <c r="H24" s="826">
        <f t="shared" si="1"/>
        <v>0</v>
      </c>
      <c r="I24" s="826"/>
      <c r="J24" s="826"/>
      <c r="K24" s="826">
        <f t="shared" si="2"/>
        <v>0</v>
      </c>
    </row>
    <row r="25" spans="1:11" ht="15.75">
      <c r="A25" s="802" t="s">
        <v>188</v>
      </c>
      <c r="B25" s="802" t="str">
        <f t="shared" si="3"/>
        <v>Year 2018</v>
      </c>
      <c r="C25" s="802"/>
      <c r="D25" s="826">
        <f t="shared" si="4"/>
        <v>0</v>
      </c>
      <c r="E25" s="826"/>
      <c r="F25" s="827">
        <f t="shared" si="5"/>
        <v>4.0949999999999997E-3</v>
      </c>
      <c r="G25" s="828">
        <f t="shared" si="0"/>
        <v>8</v>
      </c>
      <c r="H25" s="826">
        <f t="shared" si="1"/>
        <v>0</v>
      </c>
      <c r="I25" s="826"/>
      <c r="J25" s="826"/>
      <c r="K25" s="826">
        <f t="shared" si="2"/>
        <v>0</v>
      </c>
    </row>
    <row r="26" spans="1:11" ht="15.75">
      <c r="A26" s="802" t="s">
        <v>382</v>
      </c>
      <c r="B26" s="802" t="str">
        <f t="shared" si="3"/>
        <v>Year 2018</v>
      </c>
      <c r="C26" s="802"/>
      <c r="D26" s="826">
        <f t="shared" si="4"/>
        <v>0</v>
      </c>
      <c r="E26" s="826"/>
      <c r="F26" s="827">
        <f t="shared" si="5"/>
        <v>4.0949999999999997E-3</v>
      </c>
      <c r="G26" s="828">
        <f t="shared" si="0"/>
        <v>7</v>
      </c>
      <c r="H26" s="826">
        <f t="shared" si="1"/>
        <v>0</v>
      </c>
      <c r="I26" s="826"/>
      <c r="J26" s="826"/>
      <c r="K26" s="826">
        <f t="shared" si="2"/>
        <v>0</v>
      </c>
    </row>
    <row r="27" spans="1:11" ht="15.75">
      <c r="A27" s="802" t="s">
        <v>189</v>
      </c>
      <c r="B27" s="802" t="str">
        <f t="shared" si="3"/>
        <v>Year 2018</v>
      </c>
      <c r="C27" s="802"/>
      <c r="D27" s="826">
        <f t="shared" si="4"/>
        <v>0</v>
      </c>
      <c r="E27" s="826"/>
      <c r="F27" s="827">
        <f t="shared" si="5"/>
        <v>4.0949999999999997E-3</v>
      </c>
      <c r="G27" s="828">
        <f t="shared" si="0"/>
        <v>6</v>
      </c>
      <c r="H27" s="826">
        <f t="shared" si="1"/>
        <v>0</v>
      </c>
      <c r="I27" s="826"/>
      <c r="J27" s="826"/>
      <c r="K27" s="826">
        <f t="shared" si="2"/>
        <v>0</v>
      </c>
    </row>
    <row r="28" spans="1:11" ht="15.75">
      <c r="A28" s="802" t="s">
        <v>190</v>
      </c>
      <c r="B28" s="802" t="str">
        <f t="shared" si="3"/>
        <v>Year 2018</v>
      </c>
      <c r="C28" s="802"/>
      <c r="D28" s="826">
        <f t="shared" si="4"/>
        <v>0</v>
      </c>
      <c r="E28" s="826"/>
      <c r="F28" s="827">
        <f t="shared" si="5"/>
        <v>4.0949999999999997E-3</v>
      </c>
      <c r="G28" s="828">
        <f t="shared" si="0"/>
        <v>5</v>
      </c>
      <c r="H28" s="826">
        <f t="shared" si="1"/>
        <v>0</v>
      </c>
      <c r="I28" s="826"/>
      <c r="J28" s="826"/>
      <c r="K28" s="826">
        <f t="shared" si="2"/>
        <v>0</v>
      </c>
    </row>
    <row r="29" spans="1:11" ht="15.75">
      <c r="A29" s="802" t="s">
        <v>192</v>
      </c>
      <c r="B29" s="802" t="str">
        <f t="shared" si="3"/>
        <v>Year 2018</v>
      </c>
      <c r="C29" s="802"/>
      <c r="D29" s="826">
        <f t="shared" si="4"/>
        <v>0</v>
      </c>
      <c r="E29" s="826"/>
      <c r="F29" s="827">
        <f t="shared" si="5"/>
        <v>4.0949999999999997E-3</v>
      </c>
      <c r="G29" s="828">
        <f t="shared" si="0"/>
        <v>4</v>
      </c>
      <c r="H29" s="826">
        <f t="shared" si="1"/>
        <v>0</v>
      </c>
      <c r="I29" s="826"/>
      <c r="J29" s="826"/>
      <c r="K29" s="826">
        <f t="shared" si="2"/>
        <v>0</v>
      </c>
    </row>
    <row r="30" spans="1:11" ht="15.75">
      <c r="A30" s="802" t="s">
        <v>560</v>
      </c>
      <c r="B30" s="802" t="str">
        <f t="shared" si="3"/>
        <v>Year 2018</v>
      </c>
      <c r="C30" s="802"/>
      <c r="D30" s="826">
        <f t="shared" si="4"/>
        <v>0</v>
      </c>
      <c r="E30" s="826"/>
      <c r="F30" s="827">
        <f t="shared" si="5"/>
        <v>4.0949999999999997E-3</v>
      </c>
      <c r="G30" s="828">
        <f t="shared" si="0"/>
        <v>3</v>
      </c>
      <c r="H30" s="826">
        <f t="shared" si="1"/>
        <v>0</v>
      </c>
      <c r="I30" s="826"/>
      <c r="J30" s="826"/>
      <c r="K30" s="826">
        <f t="shared" si="2"/>
        <v>0</v>
      </c>
    </row>
    <row r="31" spans="1:11" ht="15.75">
      <c r="A31" s="802" t="s">
        <v>561</v>
      </c>
      <c r="B31" s="802" t="str">
        <f t="shared" si="3"/>
        <v>Year 2018</v>
      </c>
      <c r="C31" s="802"/>
      <c r="D31" s="826">
        <f t="shared" si="4"/>
        <v>0</v>
      </c>
      <c r="E31" s="826"/>
      <c r="F31" s="827">
        <f t="shared" si="5"/>
        <v>4.0949999999999997E-3</v>
      </c>
      <c r="G31" s="828">
        <f t="shared" si="0"/>
        <v>2</v>
      </c>
      <c r="H31" s="826">
        <f t="shared" si="1"/>
        <v>0</v>
      </c>
      <c r="I31" s="826"/>
      <c r="J31" s="826"/>
      <c r="K31" s="826">
        <f t="shared" si="2"/>
        <v>0</v>
      </c>
    </row>
    <row r="32" spans="1:11" ht="15.75">
      <c r="A32" s="802" t="s">
        <v>191</v>
      </c>
      <c r="B32" s="802" t="str">
        <f t="shared" si="3"/>
        <v>Year 2018</v>
      </c>
      <c r="C32" s="802"/>
      <c r="D32" s="826">
        <f t="shared" si="4"/>
        <v>0</v>
      </c>
      <c r="E32" s="826"/>
      <c r="F32" s="827">
        <f t="shared" si="5"/>
        <v>4.0949999999999997E-3</v>
      </c>
      <c r="G32" s="828">
        <f t="shared" si="0"/>
        <v>1</v>
      </c>
      <c r="H32" s="829">
        <f t="shared" si="1"/>
        <v>0</v>
      </c>
      <c r="I32" s="826"/>
      <c r="J32" s="826"/>
      <c r="K32" s="826">
        <f t="shared" si="2"/>
        <v>0</v>
      </c>
    </row>
    <row r="33" spans="1:11" ht="15.75">
      <c r="A33" s="802"/>
      <c r="B33" s="802"/>
      <c r="C33" s="802"/>
      <c r="D33" s="826"/>
      <c r="E33" s="826"/>
      <c r="F33" s="827"/>
      <c r="G33" s="802"/>
      <c r="H33" s="826">
        <f>SUM(H21:H32)</f>
        <v>0</v>
      </c>
      <c r="I33" s="826"/>
      <c r="J33" s="826"/>
      <c r="K33" s="830">
        <f>SUM(K21:K32)</f>
        <v>0</v>
      </c>
    </row>
    <row r="34" spans="1:11" ht="15.75">
      <c r="A34" s="802"/>
      <c r="B34" s="802"/>
      <c r="C34" s="802"/>
      <c r="D34" s="826"/>
      <c r="E34" s="826"/>
      <c r="F34" s="827"/>
      <c r="G34" s="802"/>
      <c r="H34" s="826"/>
      <c r="I34" s="826" t="s">
        <v>114</v>
      </c>
      <c r="J34" s="826"/>
      <c r="K34" s="516"/>
    </row>
    <row r="35" spans="1:11" ht="15.75">
      <c r="A35" s="802"/>
      <c r="B35" s="802"/>
      <c r="C35" s="802"/>
      <c r="D35" s="812"/>
      <c r="E35" s="812"/>
      <c r="F35" s="827"/>
      <c r="G35" s="802"/>
      <c r="H35" s="831" t="s">
        <v>562</v>
      </c>
      <c r="I35" s="826"/>
      <c r="J35" s="826"/>
      <c r="K35" s="826"/>
    </row>
    <row r="36" spans="1:11" ht="15.75">
      <c r="A36" s="802" t="s">
        <v>563</v>
      </c>
      <c r="B36" s="802" t="str">
        <f>"Year 2019"</f>
        <v>Year 2019</v>
      </c>
      <c r="C36" s="802"/>
      <c r="D36" s="812">
        <f>K33</f>
        <v>0</v>
      </c>
      <c r="E36" s="812"/>
      <c r="F36" s="827">
        <f>+F32</f>
        <v>4.0949999999999997E-3</v>
      </c>
      <c r="G36" s="828">
        <v>12</v>
      </c>
      <c r="H36" s="826">
        <f>+G36*F36*D36</f>
        <v>0</v>
      </c>
      <c r="I36" s="826"/>
      <c r="J36" s="826"/>
      <c r="K36" s="830">
        <f>+D36+H36</f>
        <v>0</v>
      </c>
    </row>
    <row r="37" spans="1:11" ht="15.75">
      <c r="A37" s="802"/>
      <c r="B37" s="802"/>
      <c r="C37" s="802"/>
      <c r="D37" s="812"/>
      <c r="E37" s="812"/>
      <c r="F37" s="827"/>
      <c r="G37" s="802"/>
      <c r="H37" s="826"/>
      <c r="I37" s="826"/>
      <c r="J37" s="826"/>
      <c r="K37" s="826"/>
    </row>
    <row r="38" spans="1:11" ht="15.75">
      <c r="A38" s="832" t="s">
        <v>564</v>
      </c>
      <c r="B38" s="802"/>
      <c r="C38" s="802"/>
      <c r="D38" s="826"/>
      <c r="E38" s="826"/>
      <c r="F38" s="827"/>
      <c r="G38" s="802"/>
      <c r="H38" s="831" t="s">
        <v>558</v>
      </c>
      <c r="I38" s="826"/>
      <c r="J38" s="826"/>
      <c r="K38" s="826"/>
    </row>
    <row r="39" spans="1:11" ht="15.75">
      <c r="A39" s="802" t="s">
        <v>185</v>
      </c>
      <c r="B39" s="802" t="str">
        <f>"Year 2020"</f>
        <v>Year 2020</v>
      </c>
      <c r="C39" s="802"/>
      <c r="D39" s="812">
        <f>-K36</f>
        <v>0</v>
      </c>
      <c r="E39" s="812"/>
      <c r="F39" s="827">
        <f>+F32</f>
        <v>4.0949999999999997E-3</v>
      </c>
      <c r="G39" s="802"/>
      <c r="H39" s="826">
        <f xml:space="preserve"> -F39*D39</f>
        <v>0</v>
      </c>
      <c r="I39" s="826">
        <f>PMT(F39,12,K$36)</f>
        <v>0</v>
      </c>
      <c r="J39" s="826"/>
      <c r="K39" s="826">
        <f>(+D39+D39*F39-I39)*-1</f>
        <v>0</v>
      </c>
    </row>
    <row r="40" spans="1:11" ht="15.75">
      <c r="A40" s="802" t="s">
        <v>559</v>
      </c>
      <c r="B40" s="802" t="str">
        <f>+B39</f>
        <v>Year 2020</v>
      </c>
      <c r="C40" s="802"/>
      <c r="D40" s="812">
        <f>-K39</f>
        <v>0</v>
      </c>
      <c r="E40" s="812"/>
      <c r="F40" s="827">
        <f>+F39</f>
        <v>4.0949999999999997E-3</v>
      </c>
      <c r="G40" s="802"/>
      <c r="H40" s="826">
        <f xml:space="preserve"> -F40*D40</f>
        <v>0</v>
      </c>
      <c r="I40" s="826">
        <f>I39</f>
        <v>0</v>
      </c>
      <c r="J40" s="826"/>
      <c r="K40" s="826">
        <f t="shared" ref="K40:K50" si="6">(+D40+D40*F40-I40)*-1</f>
        <v>0</v>
      </c>
    </row>
    <row r="41" spans="1:11" ht="15.75">
      <c r="A41" s="802" t="s">
        <v>186</v>
      </c>
      <c r="B41" s="802" t="str">
        <f>+B40</f>
        <v>Year 2020</v>
      </c>
      <c r="C41" s="802"/>
      <c r="D41" s="812">
        <f t="shared" ref="D41:D50" si="7">-K40</f>
        <v>0</v>
      </c>
      <c r="E41" s="812"/>
      <c r="F41" s="827">
        <f t="shared" ref="F41:F50" si="8">+F40</f>
        <v>4.0949999999999997E-3</v>
      </c>
      <c r="G41" s="802"/>
      <c r="H41" s="826">
        <f t="shared" ref="H41:H50" si="9" xml:space="preserve"> -F41*D41</f>
        <v>0</v>
      </c>
      <c r="I41" s="826">
        <f t="shared" ref="I41:I50" si="10">I40</f>
        <v>0</v>
      </c>
      <c r="J41" s="826"/>
      <c r="K41" s="826">
        <f t="shared" si="6"/>
        <v>0</v>
      </c>
    </row>
    <row r="42" spans="1:11" ht="15.75">
      <c r="A42" s="802" t="s">
        <v>187</v>
      </c>
      <c r="B42" s="802" t="str">
        <f>+B41</f>
        <v>Year 2020</v>
      </c>
      <c r="C42" s="802"/>
      <c r="D42" s="812">
        <f t="shared" si="7"/>
        <v>0</v>
      </c>
      <c r="E42" s="812"/>
      <c r="F42" s="827">
        <f t="shared" si="8"/>
        <v>4.0949999999999997E-3</v>
      </c>
      <c r="G42" s="802"/>
      <c r="H42" s="826">
        <f t="shared" si="9"/>
        <v>0</v>
      </c>
      <c r="I42" s="826">
        <f t="shared" si="10"/>
        <v>0</v>
      </c>
      <c r="J42" s="826"/>
      <c r="K42" s="826">
        <f t="shared" si="6"/>
        <v>0</v>
      </c>
    </row>
    <row r="43" spans="1:11" ht="15.75">
      <c r="A43" s="802" t="s">
        <v>188</v>
      </c>
      <c r="B43" s="802" t="str">
        <f>+B42</f>
        <v>Year 2020</v>
      </c>
      <c r="C43" s="802"/>
      <c r="D43" s="812">
        <f t="shared" si="7"/>
        <v>0</v>
      </c>
      <c r="E43" s="812"/>
      <c r="F43" s="827">
        <f t="shared" si="8"/>
        <v>4.0949999999999997E-3</v>
      </c>
      <c r="G43" s="802"/>
      <c r="H43" s="826">
        <f t="shared" si="9"/>
        <v>0</v>
      </c>
      <c r="I43" s="826">
        <f>I42</f>
        <v>0</v>
      </c>
      <c r="J43" s="826"/>
      <c r="K43" s="826">
        <f t="shared" si="6"/>
        <v>0</v>
      </c>
    </row>
    <row r="44" spans="1:11" ht="15.75">
      <c r="A44" s="802" t="s">
        <v>382</v>
      </c>
      <c r="B44" s="802" t="str">
        <f>B43</f>
        <v>Year 2020</v>
      </c>
      <c r="C44" s="516"/>
      <c r="D44" s="812">
        <f t="shared" si="7"/>
        <v>0</v>
      </c>
      <c r="E44" s="812"/>
      <c r="F44" s="827">
        <f t="shared" si="8"/>
        <v>4.0949999999999997E-3</v>
      </c>
      <c r="G44" s="802"/>
      <c r="H44" s="826">
        <f t="shared" si="9"/>
        <v>0</v>
      </c>
      <c r="I44" s="826">
        <f t="shared" si="10"/>
        <v>0</v>
      </c>
      <c r="J44" s="826"/>
      <c r="K44" s="826">
        <f t="shared" si="6"/>
        <v>0</v>
      </c>
    </row>
    <row r="45" spans="1:11" ht="15.75">
      <c r="A45" s="802" t="s">
        <v>189</v>
      </c>
      <c r="B45" s="802" t="str">
        <f t="shared" ref="B45:B50" si="11">+B44</f>
        <v>Year 2020</v>
      </c>
      <c r="C45" s="802"/>
      <c r="D45" s="812">
        <f t="shared" si="7"/>
        <v>0</v>
      </c>
      <c r="E45" s="812"/>
      <c r="F45" s="827">
        <f t="shared" si="8"/>
        <v>4.0949999999999997E-3</v>
      </c>
      <c r="G45" s="802"/>
      <c r="H45" s="826">
        <f t="shared" si="9"/>
        <v>0</v>
      </c>
      <c r="I45" s="826">
        <f t="shared" si="10"/>
        <v>0</v>
      </c>
      <c r="J45" s="826"/>
      <c r="K45" s="826">
        <f t="shared" si="6"/>
        <v>0</v>
      </c>
    </row>
    <row r="46" spans="1:11" ht="15.75">
      <c r="A46" s="802" t="s">
        <v>190</v>
      </c>
      <c r="B46" s="802" t="str">
        <f t="shared" si="11"/>
        <v>Year 2020</v>
      </c>
      <c r="C46" s="802"/>
      <c r="D46" s="812">
        <f t="shared" si="7"/>
        <v>0</v>
      </c>
      <c r="E46" s="812"/>
      <c r="F46" s="827">
        <f t="shared" si="8"/>
        <v>4.0949999999999997E-3</v>
      </c>
      <c r="G46" s="802"/>
      <c r="H46" s="826">
        <f t="shared" si="9"/>
        <v>0</v>
      </c>
      <c r="I46" s="826">
        <f t="shared" si="10"/>
        <v>0</v>
      </c>
      <c r="J46" s="826"/>
      <c r="K46" s="826">
        <f t="shared" si="6"/>
        <v>0</v>
      </c>
    </row>
    <row r="47" spans="1:11" ht="15.75">
      <c r="A47" s="802" t="s">
        <v>192</v>
      </c>
      <c r="B47" s="802" t="str">
        <f t="shared" si="11"/>
        <v>Year 2020</v>
      </c>
      <c r="C47" s="802"/>
      <c r="D47" s="812">
        <f t="shared" si="7"/>
        <v>0</v>
      </c>
      <c r="E47" s="812"/>
      <c r="F47" s="827">
        <f t="shared" si="8"/>
        <v>4.0949999999999997E-3</v>
      </c>
      <c r="G47" s="802"/>
      <c r="H47" s="826">
        <f t="shared" si="9"/>
        <v>0</v>
      </c>
      <c r="I47" s="826">
        <f>I46</f>
        <v>0</v>
      </c>
      <c r="J47" s="826"/>
      <c r="K47" s="826">
        <f t="shared" si="6"/>
        <v>0</v>
      </c>
    </row>
    <row r="48" spans="1:11" ht="15.75">
      <c r="A48" s="802" t="s">
        <v>560</v>
      </c>
      <c r="B48" s="802" t="str">
        <f t="shared" si="11"/>
        <v>Year 2020</v>
      </c>
      <c r="C48" s="802"/>
      <c r="D48" s="812">
        <f t="shared" si="7"/>
        <v>0</v>
      </c>
      <c r="E48" s="812"/>
      <c r="F48" s="827">
        <f t="shared" si="8"/>
        <v>4.0949999999999997E-3</v>
      </c>
      <c r="G48" s="802"/>
      <c r="H48" s="826">
        <f t="shared" si="9"/>
        <v>0</v>
      </c>
      <c r="I48" s="826">
        <f t="shared" si="10"/>
        <v>0</v>
      </c>
      <c r="J48" s="826"/>
      <c r="K48" s="826">
        <f t="shared" si="6"/>
        <v>0</v>
      </c>
    </row>
    <row r="49" spans="1:11" ht="15.75">
      <c r="A49" s="802" t="s">
        <v>561</v>
      </c>
      <c r="B49" s="802" t="str">
        <f t="shared" si="11"/>
        <v>Year 2020</v>
      </c>
      <c r="C49" s="802"/>
      <c r="D49" s="812">
        <f t="shared" si="7"/>
        <v>0</v>
      </c>
      <c r="E49" s="812"/>
      <c r="F49" s="827">
        <f t="shared" si="8"/>
        <v>4.0949999999999997E-3</v>
      </c>
      <c r="G49" s="802"/>
      <c r="H49" s="826">
        <f t="shared" si="9"/>
        <v>0</v>
      </c>
      <c r="I49" s="826">
        <f t="shared" si="10"/>
        <v>0</v>
      </c>
      <c r="J49" s="826"/>
      <c r="K49" s="826">
        <f t="shared" si="6"/>
        <v>0</v>
      </c>
    </row>
    <row r="50" spans="1:11" ht="15.75">
      <c r="A50" s="802" t="s">
        <v>191</v>
      </c>
      <c r="B50" s="802" t="str">
        <f t="shared" si="11"/>
        <v>Year 2020</v>
      </c>
      <c r="C50" s="802"/>
      <c r="D50" s="812">
        <f t="shared" si="7"/>
        <v>0</v>
      </c>
      <c r="E50" s="812"/>
      <c r="F50" s="827">
        <f t="shared" si="8"/>
        <v>4.0949999999999997E-3</v>
      </c>
      <c r="G50" s="802"/>
      <c r="H50" s="829">
        <f t="shared" si="9"/>
        <v>0</v>
      </c>
      <c r="I50" s="826">
        <f t="shared" si="10"/>
        <v>0</v>
      </c>
      <c r="J50" s="826"/>
      <c r="K50" s="826">
        <f t="shared" si="6"/>
        <v>0</v>
      </c>
    </row>
    <row r="51" spans="1:11" ht="15.75">
      <c r="A51" s="802"/>
      <c r="B51" s="802"/>
      <c r="C51" s="802"/>
      <c r="D51" s="812"/>
      <c r="E51" s="812"/>
      <c r="F51" s="827"/>
      <c r="G51" s="802"/>
      <c r="H51" s="826">
        <f>SUM(H39:H50)</f>
        <v>0</v>
      </c>
      <c r="I51" s="826"/>
      <c r="J51" s="826"/>
      <c r="K51" s="826"/>
    </row>
    <row r="52" spans="1:11" ht="15">
      <c r="A52" s="516"/>
      <c r="B52" s="516"/>
      <c r="C52" s="516"/>
      <c r="D52" s="516"/>
      <c r="E52" s="516"/>
      <c r="F52" s="516"/>
      <c r="G52" s="516"/>
      <c r="H52" s="516"/>
      <c r="I52" s="833"/>
      <c r="J52" s="516"/>
      <c r="K52" s="516"/>
    </row>
    <row r="53" spans="1:11" ht="15.75">
      <c r="A53" s="802" t="s">
        <v>569</v>
      </c>
      <c r="B53" s="516"/>
      <c r="C53" s="516"/>
      <c r="D53" s="516"/>
      <c r="E53" s="516"/>
      <c r="F53" s="516"/>
      <c r="G53" s="516"/>
      <c r="H53" s="516"/>
      <c r="I53" s="834">
        <f>(SUM(I39:I50)*-1)</f>
        <v>0</v>
      </c>
      <c r="J53" s="516"/>
      <c r="K53" s="516"/>
    </row>
    <row r="54" spans="1:11" ht="15.75">
      <c r="A54" s="802" t="s">
        <v>565</v>
      </c>
      <c r="B54" s="516"/>
      <c r="C54" s="516"/>
      <c r="D54" s="516"/>
      <c r="E54" s="516"/>
      <c r="F54" s="516"/>
      <c r="G54" s="516"/>
      <c r="H54" s="516"/>
      <c r="I54" s="835">
        <f>+H10</f>
        <v>0</v>
      </c>
      <c r="J54" s="516"/>
      <c r="K54" s="516"/>
    </row>
    <row r="55" spans="1:11" ht="15.75">
      <c r="A55" s="802" t="s">
        <v>566</v>
      </c>
      <c r="B55" s="516"/>
      <c r="C55" s="516"/>
      <c r="D55" s="516"/>
      <c r="E55" s="516"/>
      <c r="F55" s="516"/>
      <c r="G55" s="516"/>
      <c r="H55" s="516"/>
      <c r="I55" s="834">
        <f>(I53+I54)</f>
        <v>0</v>
      </c>
      <c r="J55" s="516"/>
      <c r="K55" s="516"/>
    </row>
    <row r="56" spans="1:11">
      <c r="A56" s="413"/>
      <c r="B56" s="413"/>
      <c r="C56" s="413"/>
      <c r="D56" s="413"/>
      <c r="E56" s="413"/>
      <c r="F56" s="413"/>
      <c r="G56" s="413"/>
      <c r="H56" s="413"/>
      <c r="I56" s="413"/>
      <c r="J56" s="413"/>
      <c r="K56" s="413"/>
    </row>
    <row r="57" spans="1:11" ht="64.5" customHeight="1">
      <c r="A57" s="1592" t="s">
        <v>570</v>
      </c>
      <c r="B57" s="1592"/>
      <c r="C57" s="1592"/>
      <c r="D57" s="1592"/>
      <c r="E57" s="836"/>
      <c r="F57" s="836"/>
      <c r="G57" s="836"/>
      <c r="H57" s="836"/>
      <c r="I57" s="836"/>
      <c r="J57" s="836"/>
      <c r="K57" s="836"/>
    </row>
  </sheetData>
  <mergeCells count="5">
    <mergeCell ref="A1:K1"/>
    <mergeCell ref="A2:K2"/>
    <mergeCell ref="A3:K3"/>
    <mergeCell ref="D4:G4"/>
    <mergeCell ref="A57:D57"/>
  </mergeCells>
  <pageMargins left="0.7" right="0.7" top="0.75" bottom="0.75" header="0.3" footer="0.3"/>
  <pageSetup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23"/>
  <sheetViews>
    <sheetView zoomScale="75" zoomScaleNormal="100" zoomScaleSheetLayoutView="100" workbookViewId="0">
      <selection activeCell="A6" sqref="A6:I6"/>
    </sheetView>
  </sheetViews>
  <sheetFormatPr defaultColWidth="9.140625" defaultRowHeight="12.75"/>
  <cols>
    <col min="1" max="1" width="9.140625" style="30"/>
    <col min="2" max="2" width="0.85546875" style="34" customWidth="1"/>
    <col min="3" max="3" width="41.5703125" style="30" customWidth="1"/>
    <col min="4" max="4" width="34.42578125" style="30" bestFit="1" customWidth="1"/>
    <col min="5" max="5" width="23.140625" style="30" customWidth="1"/>
    <col min="6" max="6" width="3.140625" style="30" customWidth="1"/>
    <col min="7" max="7" width="24.5703125" style="30" customWidth="1"/>
    <col min="8" max="8" width="2.85546875" style="30" customWidth="1"/>
    <col min="9" max="9" width="20.85546875" style="30" customWidth="1"/>
    <col min="10" max="10" width="4.5703125" style="30" customWidth="1"/>
    <col min="11" max="11" width="18" style="30" bestFit="1" customWidth="1"/>
    <col min="12" max="12" width="20.42578125" style="30" customWidth="1"/>
    <col min="13" max="15" width="9.140625" style="30"/>
    <col min="16" max="16" width="10" style="30" bestFit="1" customWidth="1"/>
    <col min="17" max="17" width="17.5703125" style="30" customWidth="1"/>
    <col min="18" max="18" width="15.5703125" style="30" bestFit="1" customWidth="1"/>
    <col min="19" max="16384" width="9.140625" style="30"/>
  </cols>
  <sheetData>
    <row r="1" spans="1:15" ht="15.75">
      <c r="A1" s="893" t="s">
        <v>114</v>
      </c>
    </row>
    <row r="2" spans="1:15" ht="15.75">
      <c r="A2" s="893" t="s">
        <v>114</v>
      </c>
    </row>
    <row r="3" spans="1:15" ht="15">
      <c r="A3" s="1488" t="s">
        <v>387</v>
      </c>
      <c r="B3" s="1488"/>
      <c r="C3" s="1488"/>
      <c r="D3" s="1488"/>
      <c r="E3" s="1488"/>
      <c r="F3" s="1488"/>
      <c r="G3" s="1488"/>
      <c r="H3" s="1488"/>
      <c r="I3" s="1488"/>
      <c r="J3" s="38"/>
      <c r="K3" s="38"/>
    </row>
    <row r="4" spans="1:15" ht="15">
      <c r="A4" s="1489" t="str">
        <f>"Cost of Service Formula Rate Using Actual/Projected FF1 Balances"</f>
        <v>Cost of Service Formula Rate Using Actual/Projected FF1 Balances</v>
      </c>
      <c r="B4" s="1489"/>
      <c r="C4" s="1489"/>
      <c r="D4" s="1489"/>
      <c r="E4" s="1489"/>
      <c r="F4" s="1489"/>
      <c r="G4" s="1489"/>
      <c r="H4" s="1489"/>
      <c r="I4" s="1489"/>
      <c r="J4" s="95"/>
      <c r="K4" s="95"/>
    </row>
    <row r="5" spans="1:15" ht="15">
      <c r="A5" s="1489" t="s">
        <v>471</v>
      </c>
      <c r="B5" s="1489"/>
      <c r="C5" s="1489"/>
      <c r="D5" s="1489"/>
      <c r="E5" s="1489"/>
      <c r="F5" s="1489"/>
      <c r="G5" s="1489"/>
      <c r="H5" s="1489"/>
      <c r="I5" s="1489"/>
      <c r="J5" s="94"/>
      <c r="K5" s="94"/>
    </row>
    <row r="6" spans="1:15" ht="15">
      <c r="A6" s="1500" t="str">
        <f>TCOS!F9</f>
        <v>Appalachian Power Company</v>
      </c>
      <c r="B6" s="1500"/>
      <c r="C6" s="1500"/>
      <c r="D6" s="1500"/>
      <c r="E6" s="1500"/>
      <c r="F6" s="1500"/>
      <c r="G6" s="1500"/>
      <c r="H6" s="1500"/>
      <c r="I6" s="1500"/>
      <c r="J6" s="4"/>
      <c r="K6" s="4"/>
      <c r="L6"/>
      <c r="M6"/>
    </row>
    <row r="7" spans="1:15">
      <c r="C7" s="32"/>
      <c r="D7" s="32"/>
    </row>
    <row r="8" spans="1:15">
      <c r="C8" s="8" t="s">
        <v>162</v>
      </c>
      <c r="D8" s="8" t="s">
        <v>163</v>
      </c>
      <c r="E8" s="8" t="s">
        <v>164</v>
      </c>
      <c r="G8" s="8" t="s">
        <v>165</v>
      </c>
      <c r="I8" s="8" t="s">
        <v>84</v>
      </c>
      <c r="J8" s="8"/>
      <c r="K8" s="8"/>
      <c r="L8" s="8"/>
      <c r="M8"/>
      <c r="N8"/>
      <c r="O8"/>
    </row>
    <row r="9" spans="1:15">
      <c r="A9" s="93"/>
      <c r="I9" s="14"/>
      <c r="J9"/>
      <c r="K9"/>
      <c r="L9"/>
      <c r="M9"/>
      <c r="N9"/>
      <c r="O9"/>
    </row>
    <row r="10" spans="1:15" ht="12.75" customHeight="1">
      <c r="A10" s="12" t="s">
        <v>169</v>
      </c>
      <c r="C10" s="33"/>
      <c r="D10" s="33"/>
      <c r="E10" s="1498" t="str">
        <f>"Balance @ December 31, "&amp;TCOS!L4&amp;""</f>
        <v>Balance @ December 31, 2020</v>
      </c>
      <c r="F10" s="137"/>
      <c r="G10" s="1498" t="str">
        <f>"Balance @ December 31, "&amp;TCOS!L4-1&amp;""</f>
        <v>Balance @ December 31, 2019</v>
      </c>
      <c r="H10" s="137"/>
      <c r="I10" s="1501" t="str">
        <f>"Average Balance for "&amp;TCOS!L4&amp;""</f>
        <v>Average Balance for 2020</v>
      </c>
      <c r="J10"/>
      <c r="K10"/>
      <c r="L10"/>
      <c r="M10"/>
      <c r="N10"/>
      <c r="O10"/>
    </row>
    <row r="11" spans="1:15">
      <c r="A11" s="12" t="s">
        <v>106</v>
      </c>
      <c r="B11" s="11"/>
      <c r="C11" s="12" t="s">
        <v>167</v>
      </c>
      <c r="D11" s="12" t="s">
        <v>206</v>
      </c>
      <c r="E11" s="1499"/>
      <c r="F11" s="85"/>
      <c r="G11" s="1499"/>
      <c r="H11" s="226"/>
      <c r="I11" s="1499"/>
      <c r="J11"/>
      <c r="K11"/>
      <c r="L11"/>
      <c r="M11"/>
      <c r="N11"/>
      <c r="O11"/>
    </row>
    <row r="12" spans="1:15">
      <c r="A12" s="93"/>
      <c r="C12" s="32"/>
      <c r="D12" s="32"/>
      <c r="G12" s="238"/>
      <c r="J12" s="24"/>
      <c r="K12" s="24"/>
    </row>
    <row r="13" spans="1:15">
      <c r="A13" s="93"/>
      <c r="C13" s="32"/>
      <c r="D13" s="32"/>
      <c r="J13" s="24"/>
      <c r="K13" s="24"/>
    </row>
    <row r="14" spans="1:15">
      <c r="A14" s="93"/>
      <c r="C14" s="32"/>
      <c r="D14" s="32"/>
      <c r="J14" s="24"/>
      <c r="K14" s="24"/>
    </row>
    <row r="15" spans="1:15" ht="15.75">
      <c r="A15" s="93">
        <v>1</v>
      </c>
      <c r="C15" s="57" t="s">
        <v>509</v>
      </c>
      <c r="D15" s="57"/>
      <c r="J15" s="24"/>
      <c r="K15" s="24"/>
    </row>
    <row r="16" spans="1:15" ht="15.75">
      <c r="A16" s="93"/>
      <c r="C16" s="57"/>
      <c r="D16" s="57"/>
      <c r="H16"/>
      <c r="J16" s="24"/>
      <c r="K16" s="24"/>
    </row>
    <row r="17" spans="1:17">
      <c r="A17" s="93">
        <f>+A15+1</f>
        <v>2</v>
      </c>
      <c r="C17" s="59" t="s">
        <v>515</v>
      </c>
      <c r="D17" s="84" t="s">
        <v>517</v>
      </c>
      <c r="E17" s="847">
        <f>SUM('WS B-1 - Actual Stmt. AF'!Q23:S23)</f>
        <v>247937382.58000001</v>
      </c>
      <c r="G17" s="847">
        <f>SUM('WS B-1 - Actual Stmt. AF'!M23:O23)</f>
        <v>260692189.59</v>
      </c>
      <c r="H17"/>
      <c r="I17" s="133">
        <f>IF(G17="",0,(E17+G17)/2)</f>
        <v>254314786.08500001</v>
      </c>
      <c r="J17" s="24"/>
      <c r="K17" s="24"/>
    </row>
    <row r="18" spans="1:17">
      <c r="A18" s="93">
        <f>+A17+1</f>
        <v>3</v>
      </c>
      <c r="C18" s="59" t="s">
        <v>519</v>
      </c>
      <c r="D18" s="303" t="str">
        <f>"WS B-1 - Actual Stmt. AF Ln. " &amp;'WS B-1 - Actual Stmt. AF'!A24&amp;" (Note 1)"</f>
        <v>WS B-1 - Actual Stmt. AF Ln. 4 (Note 1)</v>
      </c>
      <c r="E18" s="847">
        <f>SUM('WS B-1 - Actual Stmt. AF'!Q24:S24)</f>
        <v>0</v>
      </c>
      <c r="G18" s="847">
        <f>SUM('WS B-1 - Actual Stmt. AF'!M24:O24)</f>
        <v>0</v>
      </c>
      <c r="H18"/>
      <c r="I18" s="133">
        <f>IF(G18="",0,(E18+G18)/2)</f>
        <v>0</v>
      </c>
      <c r="J18" s="24"/>
      <c r="K18" s="24"/>
    </row>
    <row r="19" spans="1:17" ht="15">
      <c r="A19" s="93">
        <f>+A18+1</f>
        <v>4</v>
      </c>
      <c r="C19" s="59" t="s">
        <v>520</v>
      </c>
      <c r="D19" s="303" t="str">
        <f>"WS B-1 - Actual Stmt. AF Ln. " &amp;'WS B-1 - Actual Stmt. AF'!A23&amp;" (Note 1)"</f>
        <v>WS B-1 - Actual Stmt. AF Ln. 3 (Note 1)</v>
      </c>
      <c r="E19" s="848">
        <f>SUM('WS B-1 - Actual Stmt. AF'!Q23:S23)-SUM('WS B-1 - Actual Stmt. AF'!Q24:S24)</f>
        <v>247937382.58000001</v>
      </c>
      <c r="G19" s="848">
        <f>SUM('WS B-1 - Actual Stmt. AF'!M23:O23)-SUM('WS B-1 - Actual Stmt. AF'!M24:O24)</f>
        <v>260692189.59</v>
      </c>
      <c r="I19" s="213">
        <f>IF(G19="",0,(E19+G19)/2)</f>
        <v>254314786.08500001</v>
      </c>
      <c r="J19" s="24"/>
      <c r="K19" s="24"/>
    </row>
    <row r="20" spans="1:17">
      <c r="A20" s="93">
        <f>+A19+1</f>
        <v>5</v>
      </c>
      <c r="C20" s="59" t="s">
        <v>516</v>
      </c>
      <c r="D20" s="138" t="str">
        <f>"Ln "&amp;A17&amp;" - ln "&amp;A18&amp;" - ln "&amp;A19&amp;""</f>
        <v>Ln 2 - ln 3 - ln 4</v>
      </c>
      <c r="E20" s="25">
        <f>+E17-E18-E19</f>
        <v>0</v>
      </c>
      <c r="G20" s="25">
        <f>+G17-G18-G19</f>
        <v>0</v>
      </c>
      <c r="I20" s="133">
        <f>+I17-I18-I19</f>
        <v>0</v>
      </c>
      <c r="J20" s="24"/>
      <c r="K20" s="24"/>
    </row>
    <row r="21" spans="1:17">
      <c r="A21" s="93"/>
      <c r="C21" s="59"/>
      <c r="D21" s="138"/>
      <c r="J21" s="24"/>
      <c r="K21" s="24"/>
    </row>
    <row r="22" spans="1:17">
      <c r="A22" s="93"/>
      <c r="C22" s="59"/>
      <c r="D22" s="138"/>
      <c r="J22" s="24"/>
      <c r="K22" s="25"/>
      <c r="L22" s="25"/>
      <c r="M22" s="25"/>
      <c r="N22" s="25"/>
      <c r="O22" s="25"/>
    </row>
    <row r="23" spans="1:17" ht="15.75">
      <c r="A23" s="93">
        <f>+A20+1</f>
        <v>6</v>
      </c>
      <c r="C23" s="57" t="s">
        <v>510</v>
      </c>
      <c r="D23" s="138"/>
      <c r="J23" s="24"/>
      <c r="K23" s="25"/>
      <c r="L23" s="25"/>
      <c r="M23" s="25"/>
      <c r="N23" s="25"/>
      <c r="O23" s="25"/>
    </row>
    <row r="24" spans="1:17">
      <c r="A24" s="93"/>
      <c r="C24" s="59"/>
      <c r="D24" s="138"/>
      <c r="J24" s="24"/>
      <c r="K24" s="25"/>
      <c r="L24" s="25"/>
      <c r="M24" s="25"/>
      <c r="N24" s="25"/>
      <c r="O24" s="25"/>
    </row>
    <row r="25" spans="1:17">
      <c r="A25" s="93">
        <f>+A23+1</f>
        <v>7</v>
      </c>
      <c r="C25" s="59" t="s">
        <v>515</v>
      </c>
      <c r="D25" s="84" t="s">
        <v>449</v>
      </c>
      <c r="E25" s="1103">
        <f>SUM('WS B-1 - Actual Stmt. AF'!Q81:S81)</f>
        <v>2046396326.7099998</v>
      </c>
      <c r="G25" s="890">
        <f>SUM('WS B-1 - Actual Stmt. AF'!M81:O81)</f>
        <v>2047477985.4799998</v>
      </c>
      <c r="H25"/>
      <c r="I25" s="133">
        <f>IF(G25="",0,(E25+G25)/2)</f>
        <v>2046937156.0949998</v>
      </c>
      <c r="J25" s="24"/>
      <c r="K25" s="25"/>
      <c r="L25" s="25"/>
      <c r="M25" s="25"/>
      <c r="N25" s="25"/>
      <c r="O25" s="25"/>
    </row>
    <row r="26" spans="1:17">
      <c r="A26" s="93">
        <f>+A25+1</f>
        <v>8</v>
      </c>
      <c r="C26" s="59" t="s">
        <v>519</v>
      </c>
      <c r="D26" s="303" t="str">
        <f>"WS B-1 - Actual Stmt. AF Ln. " &amp;'WS B-1 - Actual Stmt. AF'!A82&amp;" (Note 1)"</f>
        <v>WS B-1 - Actual Stmt. AF Ln. 7 (Note 1)</v>
      </c>
      <c r="E26" s="1103">
        <f>'WS B-1 - Actual Stmt. AF'!D82</f>
        <v>11324105.489999998</v>
      </c>
      <c r="G26" s="890">
        <f>'WS B-1 - Actual Stmt. AF'!C82</f>
        <v>11954456.089999998</v>
      </c>
      <c r="H26"/>
      <c r="I26" s="133">
        <f>IF(G26="",0,(E26+G26)/2)</f>
        <v>11639280.789999999</v>
      </c>
      <c r="J26" s="24"/>
      <c r="K26" s="25"/>
      <c r="L26" s="25"/>
      <c r="M26" s="25"/>
      <c r="N26" s="25"/>
      <c r="O26" s="25"/>
    </row>
    <row r="27" spans="1:17" ht="15">
      <c r="A27" s="93">
        <f>+A26+1</f>
        <v>9</v>
      </c>
      <c r="C27" s="59" t="s">
        <v>520</v>
      </c>
      <c r="D27" s="303" t="str">
        <f>"WS B-1 - Actual Stmt. AF Ln. " &amp;'WS B-1 - Actual Stmt. AF'!A81&amp;" (Note 1)"</f>
        <v>WS B-1 - Actual Stmt. AF Ln. 6 (Note 1)</v>
      </c>
      <c r="E27" s="891">
        <f>('WS B-1 - Actual Stmt. AF'!Q81+'WS B-1 - Actual Stmt. AF'!S81)-('WS B-1 - Actual Stmt. AF'!Q82+'WS B-1 - Actual Stmt. AF'!S82)</f>
        <v>1422947001.6399996</v>
      </c>
      <c r="G27" s="891">
        <f>('WS B-1 - Actual Stmt. AF'!M81+'WS B-1 - Actual Stmt. AF'!O81)-('WS B-1 - Actual Stmt. AF'!M82+'WS B-1 - Actual Stmt. AF'!O82)</f>
        <v>1446557652.76</v>
      </c>
      <c r="I27" s="213">
        <f>IF(G27="",0,(E27+G27)/2)</f>
        <v>1434752327.1999998</v>
      </c>
      <c r="J27" s="24"/>
      <c r="K27" s="25"/>
      <c r="L27" s="25"/>
      <c r="M27" s="25"/>
      <c r="N27" s="25"/>
      <c r="O27" s="25"/>
    </row>
    <row r="28" spans="1:17">
      <c r="A28" s="93">
        <f>+A27+1</f>
        <v>10</v>
      </c>
      <c r="C28" s="59" t="s">
        <v>516</v>
      </c>
      <c r="D28" s="138" t="str">
        <f>"Ln "&amp;A25&amp;" - ln "&amp;A26&amp;" - ln "&amp;A27&amp;""</f>
        <v>Ln 7 - ln 8 - ln 9</v>
      </c>
      <c r="E28" s="25">
        <f>+E25-E26-E27</f>
        <v>612125219.58000016</v>
      </c>
      <c r="G28" s="25">
        <f>+G25-G26-G27</f>
        <v>588965876.62999988</v>
      </c>
      <c r="I28" s="133">
        <f>+I25-I26-I27</f>
        <v>600545548.10500002</v>
      </c>
      <c r="J28" s="24"/>
      <c r="K28" s="25"/>
      <c r="L28" s="25"/>
      <c r="M28" s="25"/>
      <c r="N28" s="25"/>
      <c r="O28" s="25"/>
    </row>
    <row r="29" spans="1:17">
      <c r="A29" s="93"/>
      <c r="C29" s="59"/>
      <c r="D29" s="138"/>
      <c r="J29" s="24"/>
      <c r="K29" s="25"/>
      <c r="L29" s="25"/>
      <c r="M29" s="25"/>
      <c r="N29" s="25"/>
      <c r="O29" s="25"/>
      <c r="P29" s="25"/>
      <c r="Q29" s="25"/>
    </row>
    <row r="30" spans="1:17">
      <c r="A30" s="93"/>
      <c r="C30" s="59"/>
      <c r="D30" s="138"/>
      <c r="E30" s="135"/>
      <c r="G30" s="135"/>
      <c r="J30" s="24"/>
      <c r="K30" s="25"/>
      <c r="L30" s="25"/>
      <c r="M30" s="25"/>
      <c r="N30" s="25"/>
      <c r="O30" s="25"/>
      <c r="P30" s="25"/>
      <c r="Q30" s="25"/>
    </row>
    <row r="31" spans="1:17" ht="15.75">
      <c r="A31" s="93">
        <f>+A28+1</f>
        <v>11</v>
      </c>
      <c r="C31" s="57" t="s">
        <v>511</v>
      </c>
      <c r="D31" s="138"/>
      <c r="J31" s="24"/>
      <c r="K31" s="25"/>
      <c r="L31" s="25"/>
      <c r="M31" s="25"/>
      <c r="N31" s="25"/>
      <c r="O31" s="25"/>
      <c r="P31" s="25"/>
      <c r="Q31" s="25"/>
    </row>
    <row r="32" spans="1:17" ht="15.75">
      <c r="A32" s="93"/>
      <c r="C32" s="57"/>
      <c r="D32" s="138"/>
      <c r="J32" s="24"/>
      <c r="K32" s="25"/>
      <c r="L32" s="25"/>
      <c r="M32" s="25"/>
      <c r="N32" s="25"/>
      <c r="O32" s="25"/>
      <c r="P32" s="25"/>
      <c r="Q32" s="25"/>
    </row>
    <row r="33" spans="1:17">
      <c r="A33" s="93">
        <f>+A31+1</f>
        <v>12</v>
      </c>
      <c r="C33" s="59" t="s">
        <v>515</v>
      </c>
      <c r="D33" s="84" t="s">
        <v>518</v>
      </c>
      <c r="E33" s="890">
        <f>SUM('WS B-1 - Actual Stmt. AF'!Q205:S205)</f>
        <v>170045409.56999993</v>
      </c>
      <c r="G33" s="890">
        <f>SUM('WS B-1 - Actual Stmt. AF'!M205:O205)</f>
        <v>144018981.38</v>
      </c>
      <c r="H33"/>
      <c r="I33" s="133">
        <f>IF(G33="",0,(E33+G33)/2)</f>
        <v>157032195.47499996</v>
      </c>
      <c r="J33" s="24"/>
      <c r="K33" s="25"/>
      <c r="L33" s="25"/>
      <c r="M33" s="25"/>
      <c r="N33" s="25"/>
      <c r="O33" s="25"/>
      <c r="P33" s="25"/>
      <c r="Q33" s="25"/>
    </row>
    <row r="34" spans="1:17">
      <c r="A34" s="93">
        <f>+A33+1</f>
        <v>13</v>
      </c>
      <c r="C34" s="59" t="s">
        <v>519</v>
      </c>
      <c r="D34" s="303" t="str">
        <f>"WS B-1 - Actual Stmt. AF Ln. " &amp;'WS B-1 - Actual Stmt. AF'!A206&amp;" (Note 1)"</f>
        <v>WS B-1 - Actual Stmt. AF Ln. 13 (Note 1)</v>
      </c>
      <c r="E34" s="890">
        <f>SUM('WS B-1 - Actual Stmt. AF'!Q206:S206)</f>
        <v>6249387.0700000003</v>
      </c>
      <c r="G34" s="890">
        <f>SUM('WS B-1 - Actual Stmt. AF'!M206:O206)</f>
        <v>6323027.9500000002</v>
      </c>
      <c r="H34"/>
      <c r="I34" s="133">
        <f>IF(G34="",0,(E34+G34)/2)</f>
        <v>6286207.5099999998</v>
      </c>
      <c r="J34" s="24"/>
      <c r="K34" s="1071"/>
      <c r="L34" s="1071"/>
      <c r="M34" s="1071"/>
      <c r="N34" s="1071"/>
      <c r="O34" s="1071"/>
    </row>
    <row r="35" spans="1:17" ht="15">
      <c r="A35" s="93">
        <f>+A34+1</f>
        <v>14</v>
      </c>
      <c r="C35" s="59" t="s">
        <v>520</v>
      </c>
      <c r="D35" s="303" t="str">
        <f>"WS B-1 - Actual Stmt. AF Ln. " &amp;'WS B-1 - Actual Stmt. AF'!A205&amp;" (Note 1)"</f>
        <v>WS B-1 - Actual Stmt. AF Ln. 12 (Note 1)</v>
      </c>
      <c r="E35" s="891">
        <f>('WS B-1 - Actual Stmt. AF'!Q205+'WS B-1 - Actual Stmt. AF'!S205)-('WS B-1 - Actual Stmt. AF'!Q206+'WS B-1 - Actual Stmt. AF'!S206)</f>
        <v>138607710.31999996</v>
      </c>
      <c r="G35" s="891">
        <f>('WS B-1 - Actual Stmt. AF'!M205+'WS B-1 - Actual Stmt. AF'!O205)-('WS B-1 - Actual Stmt. AF'!M206+'WS B-1 - Actual Stmt. AF'!O206)</f>
        <v>124408254.53</v>
      </c>
      <c r="I35" s="213">
        <f>IF(G35="",0,(E35+G35)/2)</f>
        <v>131507982.42499998</v>
      </c>
      <c r="J35" s="24"/>
      <c r="K35" s="24"/>
    </row>
    <row r="36" spans="1:17">
      <c r="A36" s="93">
        <f>+A35+1</f>
        <v>15</v>
      </c>
      <c r="C36" s="59" t="s">
        <v>516</v>
      </c>
      <c r="D36" s="138" t="str">
        <f>"Ln "&amp;A33&amp;" - ln "&amp;A34&amp;" - ln "&amp;A35&amp;""</f>
        <v>Ln 12 - ln 13 - ln 14</v>
      </c>
      <c r="E36" s="25">
        <f>+E33-E34-E35</f>
        <v>25188312.179999977</v>
      </c>
      <c r="G36" s="25">
        <f>+G33-G34-G35</f>
        <v>13287698.900000006</v>
      </c>
      <c r="I36" s="133">
        <f>+I33-I34-I35</f>
        <v>19238005.539999992</v>
      </c>
      <c r="J36" s="24"/>
      <c r="K36" s="24"/>
    </row>
    <row r="37" spans="1:17" ht="15.75">
      <c r="A37" s="93"/>
      <c r="C37" s="57"/>
      <c r="D37" s="138"/>
      <c r="J37" s="24"/>
      <c r="K37" s="25"/>
      <c r="L37" s="25"/>
      <c r="M37" s="25"/>
      <c r="N37" s="25"/>
      <c r="O37" s="25"/>
      <c r="P37" s="25"/>
    </row>
    <row r="38" spans="1:17">
      <c r="A38" s="93"/>
      <c r="C38" s="59"/>
      <c r="D38" s="138"/>
      <c r="J38" s="24"/>
      <c r="K38" s="25"/>
      <c r="L38" s="25"/>
      <c r="M38" s="25"/>
      <c r="N38" s="25"/>
      <c r="O38" s="25"/>
      <c r="P38" s="25"/>
    </row>
    <row r="39" spans="1:17" ht="15.75">
      <c r="A39" s="93">
        <f>+A36+1</f>
        <v>16</v>
      </c>
      <c r="C39" s="57" t="s">
        <v>512</v>
      </c>
      <c r="D39" s="138"/>
      <c r="J39" s="24"/>
      <c r="K39" s="25"/>
      <c r="L39" s="25"/>
      <c r="M39" s="25"/>
      <c r="N39" s="25"/>
      <c r="O39" s="25"/>
      <c r="P39" s="25"/>
    </row>
    <row r="40" spans="1:17">
      <c r="A40" s="93"/>
      <c r="C40" s="59"/>
      <c r="D40" s="138"/>
      <c r="J40" s="24"/>
      <c r="K40" s="25"/>
      <c r="L40" s="25"/>
      <c r="M40" s="25"/>
      <c r="N40" s="25"/>
      <c r="O40" s="25"/>
      <c r="P40" s="25"/>
    </row>
    <row r="41" spans="1:17">
      <c r="A41" s="93">
        <f>+A39+1</f>
        <v>17</v>
      </c>
      <c r="C41" s="59" t="s">
        <v>515</v>
      </c>
      <c r="D41" s="84" t="s">
        <v>514</v>
      </c>
      <c r="E41" s="890">
        <f>SUM('WS B-2 - Actual Stmt. AG'!Q118:S118)</f>
        <v>236936435.34999999</v>
      </c>
      <c r="G41" s="890">
        <f>SUM('WS B-2 - Actual Stmt. AG'!M118:O118)</f>
        <v>195525947.88</v>
      </c>
      <c r="H41"/>
      <c r="I41" s="133">
        <f>IF(G41="",0,(E41+G41)/2)</f>
        <v>216231191.61500001</v>
      </c>
      <c r="J41" s="24"/>
      <c r="K41" s="25"/>
      <c r="L41" s="25"/>
      <c r="M41" s="25"/>
      <c r="N41" s="25"/>
      <c r="O41" s="25"/>
    </row>
    <row r="42" spans="1:17">
      <c r="A42" s="93">
        <f>+A41+1</f>
        <v>18</v>
      </c>
      <c r="C42" s="59" t="s">
        <v>519</v>
      </c>
      <c r="D42" s="303" t="str">
        <f>"WS B-2 - Actual Stmt. AG Ln. " &amp;'WS B-2 - Actual Stmt. AG'!A119&amp;" (Note 1)"</f>
        <v>WS B-2 - Actual Stmt. AG Ln. 4 (Note 1)</v>
      </c>
      <c r="E42" s="890">
        <f>SUM('WS B-2 - Actual Stmt. AG'!Q119:S119)</f>
        <v>65742850.010000005</v>
      </c>
      <c r="G42" s="890">
        <f>SUM('WS B-2 - Actual Stmt. AG'!M119:O119)</f>
        <v>23303239.300000004</v>
      </c>
      <c r="H42"/>
      <c r="I42" s="133">
        <f>IF(G42="",0,(E42+G42)/2)</f>
        <v>44523044.655000001</v>
      </c>
      <c r="J42" s="24"/>
      <c r="K42" s="25"/>
      <c r="L42" s="25"/>
      <c r="M42" s="25"/>
      <c r="N42" s="25"/>
      <c r="O42" s="25"/>
    </row>
    <row r="43" spans="1:17" ht="15">
      <c r="A43" s="93">
        <f>+A42+1</f>
        <v>19</v>
      </c>
      <c r="C43" s="59" t="s">
        <v>520</v>
      </c>
      <c r="D43" s="303" t="str">
        <f>"WS B-2 - Actual Stmt. AG Ln. " &amp;'WS B-2 - Actual Stmt. AG'!A118&amp;" (Note 1)"</f>
        <v>WS B-2 - Actual Stmt. AG Ln. 3 (Note 1)</v>
      </c>
      <c r="E43" s="891">
        <f>('WS B-2 - Actual Stmt. AG'!Q118+'WS B-2 - Actual Stmt. AG'!S118)-('WS B-2 - Actual Stmt. AG'!Q119+'WS B-2 - Actual Stmt. AG'!S119)</f>
        <v>124428906.80999999</v>
      </c>
      <c r="G43" s="891">
        <f>('WS B-2 - Actual Stmt. AG'!M118+'WS B-2 - Actual Stmt. AG'!O118)-('WS B-2 - Actual Stmt. AG'!M119+'WS B-2 - Actual Stmt. AG'!O119)</f>
        <v>129404023.99999997</v>
      </c>
      <c r="I43" s="213">
        <f>IF(G43="",0,(E43+G43)/2)</f>
        <v>126916465.40499997</v>
      </c>
      <c r="J43" s="24"/>
      <c r="K43" s="25"/>
      <c r="L43" s="25"/>
      <c r="M43" s="25"/>
      <c r="N43" s="25"/>
      <c r="O43" s="25"/>
    </row>
    <row r="44" spans="1:17">
      <c r="A44" s="93">
        <f>+A43+1</f>
        <v>20</v>
      </c>
      <c r="C44" s="59" t="s">
        <v>516</v>
      </c>
      <c r="D44" s="138" t="str">
        <f>"Ln "&amp;A41&amp;" - ln "&amp;A42&amp;" - ln "&amp;A43&amp;""</f>
        <v>Ln 17 - ln 18 - ln 19</v>
      </c>
      <c r="E44" s="25">
        <f>+E41-E42-E43</f>
        <v>46764678.529999986</v>
      </c>
      <c r="G44" s="25">
        <f>+G41-G42-G43</f>
        <v>42818684.580000013</v>
      </c>
      <c r="I44" s="133">
        <f>+I41-I42-I43</f>
        <v>44791681.555000037</v>
      </c>
      <c r="J44" s="24"/>
      <c r="K44" s="24"/>
    </row>
    <row r="45" spans="1:17">
      <c r="A45" s="93"/>
      <c r="C45" s="59"/>
      <c r="D45" s="138"/>
      <c r="J45" s="24"/>
      <c r="K45" s="24"/>
    </row>
    <row r="46" spans="1:17">
      <c r="A46" s="93"/>
      <c r="C46" s="59"/>
      <c r="D46" s="138"/>
      <c r="J46" s="24"/>
      <c r="K46" s="24"/>
    </row>
    <row r="47" spans="1:17" ht="15.75">
      <c r="A47" s="93">
        <f>+A44+1</f>
        <v>21</v>
      </c>
      <c r="C47" s="57" t="s">
        <v>513</v>
      </c>
      <c r="D47" s="138"/>
      <c r="J47" s="24"/>
      <c r="K47" s="24"/>
    </row>
    <row r="48" spans="1:17">
      <c r="A48" s="93"/>
      <c r="C48" s="59"/>
      <c r="D48" s="138"/>
      <c r="J48" s="24"/>
      <c r="K48" s="25"/>
      <c r="L48" s="25"/>
      <c r="M48" s="25"/>
      <c r="N48" s="25"/>
      <c r="O48" s="25"/>
    </row>
    <row r="49" spans="1:15">
      <c r="A49" s="93">
        <f>+A47+1</f>
        <v>22</v>
      </c>
      <c r="C49" s="59" t="s">
        <v>521</v>
      </c>
      <c r="D49" s="84" t="s">
        <v>470</v>
      </c>
      <c r="E49" s="847">
        <f>SUM('WS B-1 - Actual Stmt. AF'!Q219:S219)</f>
        <v>318791</v>
      </c>
      <c r="G49" s="847">
        <f>SUM('WS B-1 - Actual Stmt. AF'!M219:O219)</f>
        <v>502367</v>
      </c>
      <c r="H49"/>
      <c r="I49" s="133">
        <f>IF(G49="",0,(E49+G49)/2)</f>
        <v>410579</v>
      </c>
      <c r="J49" s="24"/>
      <c r="K49" s="25"/>
      <c r="L49" s="25"/>
      <c r="M49" s="25"/>
      <c r="N49" s="25"/>
      <c r="O49" s="25"/>
    </row>
    <row r="50" spans="1:15" ht="15">
      <c r="A50" s="93">
        <f>+A49+1</f>
        <v>23</v>
      </c>
      <c r="C50" s="59" t="s">
        <v>522</v>
      </c>
      <c r="D50" s="303" t="s">
        <v>67</v>
      </c>
      <c r="E50" s="848">
        <v>0</v>
      </c>
      <c r="G50" s="848">
        <v>0</v>
      </c>
      <c r="H50"/>
      <c r="I50" s="213">
        <f>IF(G50="",0,(E50+G50)/2)</f>
        <v>0</v>
      </c>
      <c r="J50" s="24"/>
      <c r="K50" s="25"/>
      <c r="L50" s="25"/>
      <c r="M50" s="25"/>
      <c r="N50" s="25"/>
      <c r="O50" s="25"/>
    </row>
    <row r="51" spans="1:15">
      <c r="A51" s="93">
        <f>+A50+1</f>
        <v>24</v>
      </c>
      <c r="C51" s="59" t="s">
        <v>388</v>
      </c>
      <c r="D51" s="138" t="str">
        <f>"Ln "&amp;A49&amp;" - ln "&amp;A50&amp;""</f>
        <v>Ln 22 - ln 23</v>
      </c>
      <c r="E51" s="25">
        <f>+E49-E50</f>
        <v>318791</v>
      </c>
      <c r="G51" s="25">
        <f>+G49-G50</f>
        <v>502367</v>
      </c>
      <c r="H51"/>
      <c r="I51" s="133">
        <f>+I49-I50</f>
        <v>410579</v>
      </c>
      <c r="J51" s="24"/>
      <c r="K51" s="25"/>
      <c r="L51" s="25"/>
      <c r="M51" s="25"/>
      <c r="N51" s="25"/>
      <c r="O51" s="25"/>
    </row>
    <row r="52" spans="1:15">
      <c r="A52" s="93">
        <f>+A51+1</f>
        <v>25</v>
      </c>
      <c r="C52" s="59" t="s">
        <v>516</v>
      </c>
      <c r="D52" s="303" t="str">
        <f>"WS B-1 - Actual Stmt. AF Ln. " &amp;'WS B-1 - Actual Stmt. AF'!A219&amp;" (Note 1)"</f>
        <v>WS B-1 - Actual Stmt. AF Ln. 20 (Note 1)</v>
      </c>
      <c r="E52" s="847">
        <f>'WS B-1 - Actual Stmt. AF'!R219</f>
        <v>7297</v>
      </c>
      <c r="G52" s="847">
        <f>'WS B-1 - Actual Stmt. AF'!N219</f>
        <v>9943</v>
      </c>
      <c r="H52"/>
      <c r="I52" s="133">
        <f>IF(G52="",0,(E52+G52)/2)</f>
        <v>8620</v>
      </c>
      <c r="J52" s="24"/>
      <c r="K52" s="25"/>
      <c r="L52" s="25"/>
      <c r="M52" s="25"/>
      <c r="N52" s="25"/>
      <c r="O52" s="25"/>
    </row>
    <row r="53" spans="1:15">
      <c r="A53" s="93"/>
      <c r="C53" s="59"/>
      <c r="D53" s="59"/>
      <c r="J53" s="24"/>
      <c r="K53" s="25"/>
      <c r="L53" s="25"/>
      <c r="M53" s="25"/>
      <c r="N53" s="25"/>
      <c r="O53" s="25"/>
    </row>
    <row r="54" spans="1:15">
      <c r="A54" s="82" t="s">
        <v>68</v>
      </c>
      <c r="C54" s="1497" t="s">
        <v>821</v>
      </c>
      <c r="D54" s="1497"/>
      <c r="E54" s="1497"/>
      <c r="F54" s="1497"/>
      <c r="G54" s="1497"/>
      <c r="H54" s="1497"/>
      <c r="I54" s="1497"/>
      <c r="J54" s="24"/>
      <c r="K54" s="24"/>
    </row>
    <row r="55" spans="1:15">
      <c r="A55" s="82"/>
      <c r="C55" s="1497"/>
      <c r="D55" s="1497"/>
      <c r="E55" s="1497"/>
      <c r="F55" s="1497"/>
      <c r="G55" s="1497"/>
      <c r="H55" s="1497"/>
      <c r="I55" s="1497"/>
      <c r="J55" s="24"/>
      <c r="K55" s="24"/>
    </row>
    <row r="56" spans="1:15">
      <c r="A56" s="93"/>
      <c r="C56" s="59"/>
      <c r="D56" s="59"/>
    </row>
    <row r="57" spans="1:15">
      <c r="A57" s="93" t="s">
        <v>69</v>
      </c>
      <c r="B57" s="34" t="s">
        <v>70</v>
      </c>
      <c r="C57" s="59"/>
      <c r="D57" s="59"/>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10"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9"/>
  <sheetViews>
    <sheetView view="pageBreakPreview" topLeftCell="A151" zoomScale="85" zoomScaleNormal="50" zoomScaleSheetLayoutView="85" workbookViewId="0">
      <selection activeCell="F21" sqref="F21"/>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2.5703125" customWidth="1"/>
    <col min="9" max="9" width="15.140625" customWidth="1"/>
    <col min="10" max="10" width="15" bestFit="1" customWidth="1"/>
    <col min="11" max="11" width="13.5703125" bestFit="1" customWidth="1"/>
    <col min="12" max="12" width="2.42578125" customWidth="1"/>
    <col min="13" max="13" width="15.42578125" bestFit="1" customWidth="1"/>
    <col min="14" max="14" width="15" bestFit="1" customWidth="1"/>
    <col min="15" max="15" width="13.5703125" bestFit="1" customWidth="1"/>
    <col min="16" max="16" width="2.5703125" customWidth="1"/>
    <col min="17" max="17" width="13.140625" bestFit="1" customWidth="1"/>
    <col min="18" max="18" width="15" bestFit="1" customWidth="1"/>
    <col min="19" max="19" width="13.5703125" bestFit="1" customWidth="1"/>
  </cols>
  <sheetData>
    <row r="1" spans="1:19">
      <c r="A1" s="1055"/>
      <c r="B1" s="1115" t="str">
        <f>TCOS!F9</f>
        <v>Appalachian Power Company</v>
      </c>
      <c r="C1" s="1036"/>
      <c r="D1" s="1036"/>
      <c r="E1" s="1036"/>
      <c r="F1" s="1036"/>
      <c r="G1" s="1037"/>
      <c r="H1" s="1037"/>
      <c r="I1" s="1037"/>
      <c r="J1" s="1037"/>
      <c r="K1" s="1037"/>
      <c r="L1" s="1037"/>
      <c r="M1" s="1036"/>
      <c r="N1" s="1036"/>
      <c r="O1" s="1036"/>
      <c r="P1" s="1036"/>
      <c r="Q1" s="1036"/>
      <c r="R1" s="1036"/>
      <c r="S1" s="1037"/>
    </row>
    <row r="2" spans="1:19">
      <c r="A2" s="1055"/>
      <c r="B2" s="1035" t="s">
        <v>823</v>
      </c>
      <c r="C2" s="1036"/>
      <c r="D2" s="1036"/>
      <c r="E2" s="1036"/>
      <c r="F2" s="1036"/>
      <c r="G2" s="1037"/>
      <c r="H2" s="1037"/>
      <c r="I2" s="1037"/>
      <c r="J2" s="1037"/>
      <c r="K2" s="1037"/>
      <c r="L2" s="1037"/>
      <c r="M2" s="1036"/>
      <c r="N2" s="1036"/>
      <c r="O2" s="1036"/>
      <c r="P2" s="1036"/>
      <c r="Q2" s="1036"/>
      <c r="R2" s="1036"/>
      <c r="S2" s="1037"/>
    </row>
    <row r="3" spans="1:19">
      <c r="A3" s="1055"/>
      <c r="B3" s="1077" t="str">
        <f>"PERIOD ENDED DECEMBER 31, "&amp;TCOS!L4</f>
        <v>PERIOD ENDED DECEMBER 31, 2020</v>
      </c>
      <c r="C3" s="1036"/>
      <c r="D3" s="1036"/>
      <c r="E3" s="1036"/>
      <c r="F3" s="1036"/>
      <c r="G3" s="1036"/>
      <c r="H3" s="1036"/>
      <c r="I3" s="1036"/>
      <c r="J3" s="1036"/>
      <c r="K3" s="1036"/>
      <c r="L3" s="1036"/>
      <c r="M3" s="1036"/>
      <c r="N3" s="1036"/>
      <c r="O3" s="1036"/>
      <c r="P3" s="1036"/>
      <c r="Q3" s="1036"/>
      <c r="R3" s="1036"/>
      <c r="S3" s="1036"/>
    </row>
    <row r="4" spans="1:19">
      <c r="A4" s="1055"/>
      <c r="B4" s="1036"/>
      <c r="C4" s="1036"/>
      <c r="D4" s="1036"/>
      <c r="E4" s="1036"/>
      <c r="F4" s="1036"/>
      <c r="G4" s="960" t="s">
        <v>698</v>
      </c>
      <c r="H4" s="960"/>
      <c r="I4" s="960"/>
      <c r="J4" s="960"/>
      <c r="K4" s="960"/>
      <c r="L4" s="960"/>
      <c r="M4" s="1036"/>
      <c r="N4" s="1036"/>
      <c r="O4" s="1036"/>
      <c r="P4" s="1036"/>
      <c r="Q4" s="1036"/>
      <c r="R4" s="1036"/>
      <c r="S4" s="1036"/>
    </row>
    <row r="5" spans="1:19">
      <c r="A5" s="1055"/>
      <c r="B5" s="1038"/>
      <c r="C5" s="1036"/>
      <c r="D5" s="1036"/>
      <c r="E5" s="1036"/>
      <c r="F5" s="1036"/>
      <c r="G5" s="1036"/>
      <c r="H5" s="1036"/>
      <c r="I5" s="1036"/>
      <c r="J5" s="1036"/>
      <c r="K5" s="1036"/>
      <c r="L5" s="1036"/>
      <c r="M5" s="1036"/>
      <c r="N5" s="1036"/>
      <c r="O5" s="1036"/>
      <c r="P5" s="1036"/>
      <c r="Q5" s="1036"/>
      <c r="R5" s="1036"/>
      <c r="S5" s="1036"/>
    </row>
    <row r="6" spans="1:19">
      <c r="A6" s="1055"/>
      <c r="B6" s="1036"/>
      <c r="C6" s="1036"/>
      <c r="D6" s="1036"/>
      <c r="E6" s="1036"/>
      <c r="F6" s="1036"/>
      <c r="G6" s="1036"/>
      <c r="H6" s="1036"/>
      <c r="I6" s="1036"/>
      <c r="J6" s="1036"/>
      <c r="K6" s="1036"/>
      <c r="L6" s="1036"/>
      <c r="M6" s="1036"/>
      <c r="N6" s="1036"/>
      <c r="O6" s="1036"/>
      <c r="P6" s="1036"/>
      <c r="Q6" s="1036"/>
      <c r="R6" s="1036"/>
      <c r="S6" s="1036"/>
    </row>
    <row r="7" spans="1:19">
      <c r="A7" s="1055"/>
      <c r="B7" s="1036"/>
      <c r="C7" s="1036"/>
      <c r="D7" s="1036"/>
      <c r="E7" s="1036"/>
      <c r="F7" s="1036"/>
      <c r="G7" s="1036"/>
      <c r="H7" s="1036"/>
      <c r="I7" s="1036"/>
      <c r="J7" s="1036"/>
      <c r="K7" s="1036"/>
      <c r="L7" s="1036"/>
      <c r="M7" s="1036"/>
      <c r="N7" s="1036"/>
      <c r="O7" s="1036"/>
      <c r="P7" s="1036"/>
      <c r="Q7" s="1036"/>
      <c r="R7" s="1036"/>
      <c r="S7" s="1036"/>
    </row>
    <row r="8" spans="1:19">
      <c r="A8" s="1055"/>
      <c r="B8" s="1039" t="s">
        <v>699</v>
      </c>
      <c r="C8" s="1039" t="s">
        <v>700</v>
      </c>
      <c r="D8" s="1039" t="s">
        <v>701</v>
      </c>
      <c r="E8" s="1039" t="s">
        <v>702</v>
      </c>
      <c r="F8" s="1039" t="s">
        <v>703</v>
      </c>
      <c r="G8" s="1039" t="s">
        <v>704</v>
      </c>
      <c r="H8" s="1039"/>
      <c r="I8" s="1039" t="s">
        <v>705</v>
      </c>
      <c r="J8" s="1039" t="s">
        <v>706</v>
      </c>
      <c r="K8" s="1039" t="s">
        <v>707</v>
      </c>
      <c r="L8" s="1039"/>
      <c r="M8" s="1039" t="s">
        <v>708</v>
      </c>
      <c r="N8" s="1039" t="s">
        <v>709</v>
      </c>
      <c r="O8" s="1039" t="s">
        <v>710</v>
      </c>
      <c r="P8" s="1036"/>
      <c r="Q8" s="1039" t="s">
        <v>711</v>
      </c>
      <c r="R8" s="1039" t="s">
        <v>712</v>
      </c>
      <c r="S8" s="1039" t="s">
        <v>713</v>
      </c>
    </row>
    <row r="9" spans="1:19">
      <c r="A9" s="1055"/>
      <c r="B9" s="1036"/>
      <c r="C9" s="1036"/>
      <c r="D9" s="1036"/>
      <c r="E9" s="1036"/>
      <c r="F9" s="1036"/>
      <c r="G9" s="1036"/>
      <c r="H9" s="1036"/>
      <c r="I9" s="1036"/>
      <c r="J9" s="1036"/>
      <c r="K9" s="1036"/>
      <c r="L9" s="1036"/>
      <c r="M9" s="1036"/>
      <c r="N9" s="1036"/>
      <c r="O9" s="1036"/>
      <c r="P9" s="1036"/>
      <c r="Q9" s="1036"/>
      <c r="R9" s="1036"/>
      <c r="S9" s="1036"/>
    </row>
    <row r="10" spans="1:19">
      <c r="A10" s="1055"/>
      <c r="B10" s="1036"/>
      <c r="C10" s="1040" t="s">
        <v>714</v>
      </c>
      <c r="D10" s="1040"/>
      <c r="E10" s="1041" t="s">
        <v>715</v>
      </c>
      <c r="F10" s="1040"/>
      <c r="G10" s="22" t="s">
        <v>716</v>
      </c>
      <c r="H10" s="22"/>
      <c r="I10" s="1042" t="s">
        <v>717</v>
      </c>
      <c r="J10" s="1040"/>
      <c r="K10" s="1040"/>
      <c r="L10" s="22"/>
      <c r="M10" s="1042" t="str">
        <f>"FUNCTIONALIZATION 12/31/"&amp;TCOS!L4-1</f>
        <v>FUNCTIONALIZATION 12/31/2019</v>
      </c>
      <c r="N10" s="1040"/>
      <c r="O10" s="1040"/>
      <c r="P10" s="1036"/>
      <c r="Q10" s="1042" t="str">
        <f>"FUNCTIONALIZATION 12/31/"&amp;TCOS!L4</f>
        <v>FUNCTIONALIZATION 12/31/2020</v>
      </c>
      <c r="R10" s="1040"/>
      <c r="S10" s="1040"/>
    </row>
    <row r="11" spans="1:19">
      <c r="A11" s="1055"/>
      <c r="B11" s="1036"/>
      <c r="C11" s="1044"/>
      <c r="D11" s="1044"/>
      <c r="E11" s="1036"/>
      <c r="F11" s="1036"/>
      <c r="G11" s="22" t="s">
        <v>718</v>
      </c>
      <c r="H11" s="22"/>
      <c r="I11" s="1044"/>
      <c r="J11" s="1044"/>
      <c r="K11" s="1044"/>
      <c r="L11" s="22"/>
      <c r="M11" s="1044"/>
      <c r="N11" s="1044"/>
      <c r="O11" s="1044"/>
      <c r="P11" s="1036"/>
      <c r="Q11" s="1044"/>
      <c r="R11" s="1044"/>
      <c r="S11" s="1044"/>
    </row>
    <row r="12" spans="1:19" s="21" customFormat="1">
      <c r="A12" s="1055"/>
      <c r="B12" s="1036"/>
      <c r="C12" s="22" t="s">
        <v>719</v>
      </c>
      <c r="D12" s="22" t="s">
        <v>719</v>
      </c>
      <c r="E12" s="22" t="s">
        <v>719</v>
      </c>
      <c r="F12" s="22" t="s">
        <v>719</v>
      </c>
      <c r="G12" s="22" t="s">
        <v>720</v>
      </c>
      <c r="H12" s="22"/>
      <c r="I12" s="1036"/>
      <c r="J12" s="1036"/>
      <c r="K12" s="1036"/>
      <c r="L12" s="22"/>
      <c r="M12" s="1036"/>
      <c r="N12" s="1036"/>
      <c r="O12" s="1036"/>
      <c r="P12" s="1036"/>
      <c r="Q12" s="1036"/>
      <c r="R12" s="1036"/>
      <c r="S12" s="1036"/>
    </row>
    <row r="13" spans="1:19" s="21" customFormat="1">
      <c r="A13" s="1055"/>
      <c r="B13" s="1039" t="s">
        <v>721</v>
      </c>
      <c r="C13" s="1039" t="str">
        <f>"OF 12-31-"&amp;TCOS!L4-1</f>
        <v>OF 12-31-2019</v>
      </c>
      <c r="D13" s="1039" t="str">
        <f>"OF 12-31-"&amp;TCOS!L4</f>
        <v>OF 12-31-2020</v>
      </c>
      <c r="E13" s="1039" t="str">
        <f>"OF 12-31-"&amp;TCOS!L4-1</f>
        <v>OF 12-31-2019</v>
      </c>
      <c r="F13" s="1039" t="str">
        <f>"OF 12-31-"&amp;TCOS!L4</f>
        <v>OF 12-31-2020</v>
      </c>
      <c r="G13" s="1039" t="s">
        <v>722</v>
      </c>
      <c r="H13" s="1039"/>
      <c r="I13" s="1039" t="s">
        <v>723</v>
      </c>
      <c r="J13" s="1039" t="s">
        <v>724</v>
      </c>
      <c r="K13" s="1039" t="s">
        <v>725</v>
      </c>
      <c r="L13" s="1039"/>
      <c r="M13" s="1039" t="s">
        <v>723</v>
      </c>
      <c r="N13" s="1039" t="s">
        <v>724</v>
      </c>
      <c r="O13" s="1039" t="s">
        <v>725</v>
      </c>
      <c r="P13" s="1036"/>
      <c r="Q13" s="1039" t="s">
        <v>723</v>
      </c>
      <c r="R13" s="1039" t="s">
        <v>724</v>
      </c>
      <c r="S13" s="1039" t="s">
        <v>725</v>
      </c>
    </row>
    <row r="14" spans="1:19">
      <c r="A14" s="1055"/>
      <c r="B14" s="1036"/>
      <c r="C14" s="1036"/>
      <c r="D14" s="1036"/>
      <c r="E14" s="1036"/>
      <c r="F14" s="1036"/>
      <c r="G14" s="1036"/>
      <c r="H14" s="1036"/>
      <c r="I14" s="1036"/>
      <c r="J14" s="1036"/>
      <c r="K14" s="1036"/>
      <c r="L14" s="1036"/>
      <c r="M14" s="1036"/>
      <c r="N14" s="1036"/>
      <c r="O14" s="1036"/>
      <c r="P14" s="1036"/>
      <c r="Q14" s="1036"/>
      <c r="R14" s="1036"/>
      <c r="S14" s="1036"/>
    </row>
    <row r="15" spans="1:19">
      <c r="A15" s="1076">
        <v>1</v>
      </c>
      <c r="B15" s="847" t="s">
        <v>726</v>
      </c>
      <c r="C15" s="1046"/>
      <c r="D15" s="1046"/>
      <c r="E15" s="1046"/>
      <c r="F15" s="1047"/>
      <c r="G15" s="1046"/>
      <c r="H15" s="1046"/>
      <c r="I15" s="1046"/>
      <c r="J15" s="1046"/>
      <c r="K15" s="1046"/>
      <c r="L15" s="1046"/>
      <c r="M15" s="1046"/>
      <c r="N15" s="1046"/>
      <c r="O15" s="1046"/>
      <c r="P15" s="1046"/>
      <c r="Q15" s="1046"/>
      <c r="R15" s="1046"/>
      <c r="S15" s="1046"/>
    </row>
    <row r="16" spans="1:19">
      <c r="A16" s="1076">
        <v>2.0099999999999998</v>
      </c>
      <c r="B16" s="847"/>
      <c r="C16" s="1046"/>
      <c r="D16" s="1046"/>
      <c r="E16" s="1046"/>
      <c r="F16" s="1046"/>
      <c r="G16" s="1046"/>
      <c r="H16" s="1046"/>
      <c r="I16" s="1046"/>
      <c r="J16" s="1046"/>
      <c r="K16" s="1046"/>
      <c r="L16" s="1046"/>
      <c r="M16" s="1046"/>
      <c r="N16" s="1046"/>
      <c r="O16" s="1046"/>
      <c r="P16" s="1046"/>
      <c r="Q16" s="1046"/>
      <c r="R16" s="1046"/>
      <c r="S16" s="1046"/>
    </row>
    <row r="17" spans="1:19">
      <c r="A17" s="1076">
        <v>2.02</v>
      </c>
      <c r="B17" s="847" t="s">
        <v>1011</v>
      </c>
      <c r="C17" s="1046">
        <f>SUM(M17:O17)</f>
        <v>260692189.59</v>
      </c>
      <c r="D17" s="1046">
        <f>SUM(Q17:S17)</f>
        <v>247937382.58000001</v>
      </c>
      <c r="E17" s="1046"/>
      <c r="F17" s="1046"/>
      <c r="G17" s="1046">
        <f>ROUND(SUM(C17:F17)/2,0)</f>
        <v>254314786</v>
      </c>
      <c r="H17" s="1046"/>
      <c r="I17" s="1046">
        <f>(M17+Q17)/2</f>
        <v>254314786.08500001</v>
      </c>
      <c r="J17" s="1046">
        <f>(N17+R17)/2</f>
        <v>0</v>
      </c>
      <c r="K17" s="1046">
        <f>(O17+S17)/2</f>
        <v>0</v>
      </c>
      <c r="L17" s="1046"/>
      <c r="M17" s="847">
        <v>260692189.59</v>
      </c>
      <c r="N17" s="847"/>
      <c r="O17" s="847"/>
      <c r="P17" s="1046"/>
      <c r="Q17" s="847">
        <v>247937382.58000001</v>
      </c>
      <c r="R17" s="847"/>
      <c r="S17" s="847"/>
    </row>
    <row r="18" spans="1:19">
      <c r="A18" s="1076">
        <v>2.0299999999999998</v>
      </c>
      <c r="B18" s="847"/>
      <c r="C18" s="1046"/>
      <c r="D18" s="1046"/>
      <c r="E18" s="1046"/>
      <c r="F18" s="1046"/>
      <c r="G18" s="1046"/>
      <c r="H18" s="1046"/>
      <c r="I18" s="1046"/>
      <c r="J18" s="1046"/>
      <c r="K18" s="1046"/>
      <c r="L18" s="1046"/>
      <c r="M18" s="1046"/>
      <c r="N18" s="1046"/>
      <c r="O18" s="1046"/>
      <c r="P18" s="1046"/>
      <c r="Q18" s="1046"/>
      <c r="R18" s="1046"/>
      <c r="S18" s="1046"/>
    </row>
    <row r="19" spans="1:19">
      <c r="A19" s="1076">
        <v>2.04</v>
      </c>
      <c r="B19" s="847" t="s">
        <v>1012</v>
      </c>
      <c r="C19" s="1046">
        <v>0</v>
      </c>
      <c r="D19" s="1046">
        <v>0</v>
      </c>
      <c r="E19" s="1046">
        <v>0</v>
      </c>
      <c r="F19" s="1046">
        <v>0</v>
      </c>
      <c r="G19" s="1046">
        <f>ROUND(SUM(C19:F19)/2,0)</f>
        <v>0</v>
      </c>
      <c r="H19" s="1046"/>
      <c r="I19" s="1046"/>
      <c r="J19" s="1046"/>
      <c r="K19" s="1046"/>
      <c r="L19" s="1046"/>
      <c r="M19" s="1046"/>
      <c r="N19" s="1046"/>
      <c r="O19" s="1046"/>
      <c r="P19" s="1046"/>
      <c r="Q19" s="1046"/>
      <c r="R19" s="1046"/>
      <c r="S19" s="1046"/>
    </row>
    <row r="20" spans="1:19">
      <c r="A20" s="1076">
        <v>2.0499999999999998</v>
      </c>
      <c r="B20" s="847" t="s">
        <v>1013</v>
      </c>
      <c r="C20" s="1046">
        <v>0</v>
      </c>
      <c r="D20" s="1046">
        <v>0</v>
      </c>
      <c r="E20" s="1046">
        <v>0</v>
      </c>
      <c r="F20" s="1046">
        <v>0</v>
      </c>
      <c r="G20" s="1046">
        <f>ROUND(SUM(C20:F20)/2,0)</f>
        <v>0</v>
      </c>
      <c r="H20" s="1046"/>
      <c r="I20" s="1046"/>
      <c r="J20" s="1046"/>
      <c r="K20" s="1046"/>
      <c r="L20" s="1046"/>
      <c r="M20" s="1046"/>
      <c r="N20" s="1046"/>
      <c r="O20" s="1046"/>
      <c r="P20" s="1046"/>
      <c r="Q20" s="1046"/>
      <c r="R20" s="1046"/>
      <c r="S20" s="1046"/>
    </row>
    <row r="21" spans="1:19">
      <c r="A21" s="1076">
        <v>2.06</v>
      </c>
      <c r="B21" s="847" t="s">
        <v>1014</v>
      </c>
      <c r="C21" s="1046">
        <f>-E21</f>
        <v>-100140967.5</v>
      </c>
      <c r="D21" s="1046">
        <f>-F21</f>
        <v>-95799953.530000001</v>
      </c>
      <c r="E21" s="1046">
        <v>100140967.5</v>
      </c>
      <c r="F21" s="1046">
        <v>95799953.530000001</v>
      </c>
      <c r="G21" s="1046">
        <f>ROUND(SUM(C21:F21)/2,0)</f>
        <v>0</v>
      </c>
      <c r="H21" s="1046"/>
      <c r="I21" s="1046"/>
      <c r="J21" s="1046"/>
      <c r="K21" s="1046"/>
      <c r="L21" s="1046"/>
      <c r="M21" s="1046"/>
      <c r="N21" s="1046"/>
      <c r="O21" s="1046"/>
      <c r="P21" s="1046"/>
      <c r="Q21" s="1046"/>
      <c r="R21" s="1046"/>
      <c r="S21" s="1046"/>
    </row>
    <row r="22" spans="1:19">
      <c r="A22" s="1072"/>
      <c r="B22" s="1036"/>
      <c r="C22" s="1046"/>
      <c r="D22" s="1046"/>
      <c r="E22" s="1046"/>
      <c r="F22" s="1046"/>
      <c r="G22" s="1046"/>
      <c r="H22" s="1046"/>
      <c r="I22" s="1046"/>
      <c r="J22" s="1046"/>
      <c r="K22" s="1046"/>
      <c r="L22" s="1046"/>
      <c r="M22" s="1046"/>
      <c r="N22" s="1046"/>
      <c r="O22" s="1046"/>
      <c r="P22" s="1046"/>
      <c r="Q22" s="1046"/>
      <c r="R22" s="1046"/>
      <c r="S22" s="1046"/>
    </row>
    <row r="23" spans="1:19" ht="13.5" thickBot="1">
      <c r="A23" s="1056">
        <v>3</v>
      </c>
      <c r="B23" s="242" t="s">
        <v>727</v>
      </c>
      <c r="C23" s="1048">
        <f>SUM(C17:C22)</f>
        <v>160551222.09</v>
      </c>
      <c r="D23" s="1048">
        <f>SUM(D17:D22)</f>
        <v>152137429.05000001</v>
      </c>
      <c r="E23" s="1048">
        <f>SUM(E17:E22)</f>
        <v>100140967.5</v>
      </c>
      <c r="F23" s="1048">
        <f>SUM(F17:F22)</f>
        <v>95799953.530000001</v>
      </c>
      <c r="G23" s="1048">
        <f>SUM(G17:G22)</f>
        <v>254314786</v>
      </c>
      <c r="H23" s="1046"/>
      <c r="I23" s="1048">
        <f>SUM(I17:I22)</f>
        <v>254314786.08500001</v>
      </c>
      <c r="J23" s="1048">
        <f>SUM(J17:J22)</f>
        <v>0</v>
      </c>
      <c r="K23" s="1048">
        <f>SUM(K17:K22)</f>
        <v>0</v>
      </c>
      <c r="L23" s="1046"/>
      <c r="M23" s="1048">
        <f>SUM(M17:M22)</f>
        <v>260692189.59</v>
      </c>
      <c r="N23" s="1048">
        <f>SUM(N17:N22)</f>
        <v>0</v>
      </c>
      <c r="O23" s="1048">
        <f>SUM(O17:O22)</f>
        <v>0</v>
      </c>
      <c r="P23" s="1046"/>
      <c r="Q23" s="1048">
        <f>SUM(Q17:Q22)</f>
        <v>247937382.58000001</v>
      </c>
      <c r="R23" s="1048">
        <f>SUM(R17:R22)</f>
        <v>0</v>
      </c>
      <c r="S23" s="1048">
        <f>SUM(S17:S22)</f>
        <v>0</v>
      </c>
    </row>
    <row r="24" spans="1:19" ht="13.5" thickTop="1">
      <c r="A24" s="1056">
        <f>A23+1</f>
        <v>4</v>
      </c>
      <c r="B24" s="1116" t="s">
        <v>745</v>
      </c>
      <c r="C24" s="1069">
        <v>0</v>
      </c>
      <c r="D24" s="1069">
        <v>0</v>
      </c>
      <c r="E24" s="1069">
        <v>0</v>
      </c>
      <c r="F24" s="1069">
        <v>0</v>
      </c>
      <c r="G24" s="1069">
        <v>0</v>
      </c>
      <c r="H24" s="1070"/>
      <c r="I24" s="1069">
        <v>0</v>
      </c>
      <c r="J24" s="1069">
        <v>0</v>
      </c>
      <c r="K24" s="1069">
        <v>0</v>
      </c>
      <c r="L24" s="1070"/>
      <c r="M24" s="1069">
        <v>0</v>
      </c>
      <c r="N24" s="1069">
        <v>0</v>
      </c>
      <c r="O24" s="1069">
        <v>0</v>
      </c>
      <c r="P24" s="1070"/>
      <c r="Q24" s="1069">
        <v>0</v>
      </c>
      <c r="R24" s="1069">
        <v>0</v>
      </c>
      <c r="S24" s="1069">
        <v>0</v>
      </c>
    </row>
    <row r="25" spans="1:19">
      <c r="A25" s="1056"/>
      <c r="B25" s="1036"/>
      <c r="C25" s="1046"/>
      <c r="D25" s="1046"/>
      <c r="E25" s="1046"/>
      <c r="F25" s="1046"/>
      <c r="G25" s="1046"/>
      <c r="H25" s="1046"/>
      <c r="I25" s="1046"/>
      <c r="J25" s="1046"/>
      <c r="K25" s="1046"/>
      <c r="L25" s="1046"/>
      <c r="M25" s="1046"/>
      <c r="N25" s="1046"/>
      <c r="O25" s="1046"/>
      <c r="P25" s="1046"/>
      <c r="Q25" s="1046"/>
      <c r="R25" s="1046"/>
      <c r="S25" s="1046"/>
    </row>
    <row r="26" spans="1:19">
      <c r="A26" s="1056">
        <v>5</v>
      </c>
      <c r="B26" s="1037" t="s">
        <v>728</v>
      </c>
      <c r="C26" s="1046"/>
      <c r="D26" s="1046"/>
      <c r="E26" s="1046"/>
      <c r="F26" s="1046"/>
      <c r="G26" s="1046"/>
      <c r="H26" s="1046"/>
      <c r="I26" s="1046"/>
      <c r="J26" s="1046"/>
      <c r="K26" s="1046"/>
      <c r="L26" s="1046"/>
      <c r="M26" s="1046"/>
      <c r="N26" s="1046"/>
      <c r="O26" s="1046"/>
      <c r="P26" s="1046"/>
      <c r="Q26" s="1046"/>
      <c r="R26" s="1046"/>
      <c r="S26" s="1046"/>
    </row>
    <row r="27" spans="1:19">
      <c r="A27" s="1073"/>
      <c r="B27" s="1036"/>
      <c r="C27" s="1046"/>
      <c r="D27" s="1046"/>
      <c r="E27" s="1046"/>
      <c r="F27" s="1046"/>
      <c r="G27" s="1046"/>
      <c r="H27" s="1046"/>
      <c r="I27" s="1046"/>
      <c r="J27" s="1046"/>
      <c r="K27" s="1046"/>
      <c r="L27" s="1046"/>
      <c r="M27" s="1046"/>
      <c r="N27" s="1046"/>
      <c r="O27" s="1046"/>
      <c r="P27" s="1046"/>
      <c r="Q27" s="1046"/>
      <c r="R27" s="1046"/>
      <c r="S27" s="1046"/>
    </row>
    <row r="28" spans="1:19">
      <c r="A28" s="1076">
        <v>5.01</v>
      </c>
      <c r="B28" s="847" t="s">
        <v>1015</v>
      </c>
      <c r="C28" s="1046">
        <f t="shared" ref="C28:C67" si="0">SUM(M28:O28)</f>
        <v>815417904.21000004</v>
      </c>
      <c r="D28" s="1046">
        <f t="shared" ref="D28:D67" si="1">SUM(Q28:S28)</f>
        <v>810288993.05000007</v>
      </c>
      <c r="E28" s="1046"/>
      <c r="F28" s="1046"/>
      <c r="G28" s="1046">
        <f t="shared" ref="G28:G51" si="2">ROUND(SUM(C28:F28)/2,0)</f>
        <v>812853449</v>
      </c>
      <c r="H28" s="1046"/>
      <c r="I28" s="1046">
        <f t="shared" ref="I28:K68" si="3">(M28+Q28)/2</f>
        <v>211453219.785</v>
      </c>
      <c r="J28" s="1046">
        <f t="shared" si="3"/>
        <v>330492137.495</v>
      </c>
      <c r="K28" s="1046">
        <f t="shared" si="3"/>
        <v>270908091.35000002</v>
      </c>
      <c r="L28" s="1046"/>
      <c r="M28" s="847">
        <v>214788346.09999999</v>
      </c>
      <c r="N28" s="847">
        <v>326193740.00999999</v>
      </c>
      <c r="O28" s="847">
        <v>274435818.10000002</v>
      </c>
      <c r="P28" s="1046"/>
      <c r="Q28" s="847">
        <v>208118093.47</v>
      </c>
      <c r="R28" s="847">
        <v>334790534.98000002</v>
      </c>
      <c r="S28" s="847">
        <v>267380364.59999999</v>
      </c>
    </row>
    <row r="29" spans="1:19">
      <c r="A29" s="1076">
        <f>A28+0.01</f>
        <v>5.0199999999999996</v>
      </c>
      <c r="B29" s="847" t="s">
        <v>1016</v>
      </c>
      <c r="C29" s="1046">
        <f>SUM(M29:O29)</f>
        <v>0</v>
      </c>
      <c r="D29" s="1046">
        <f>SUM(Q29:S29)</f>
        <v>0</v>
      </c>
      <c r="E29" s="1046"/>
      <c r="F29" s="1046"/>
      <c r="G29" s="1046">
        <f t="shared" si="2"/>
        <v>0</v>
      </c>
      <c r="H29" s="1046"/>
      <c r="I29" s="1046">
        <f t="shared" si="3"/>
        <v>0</v>
      </c>
      <c r="J29" s="1046">
        <f t="shared" si="3"/>
        <v>0</v>
      </c>
      <c r="K29" s="1046">
        <f t="shared" si="3"/>
        <v>0</v>
      </c>
      <c r="L29" s="1046"/>
      <c r="M29" s="847">
        <v>0</v>
      </c>
      <c r="N29" s="847">
        <v>0</v>
      </c>
      <c r="O29" s="847">
        <v>0</v>
      </c>
      <c r="P29" s="1046"/>
      <c r="Q29" s="847">
        <v>0</v>
      </c>
      <c r="R29" s="847">
        <v>0</v>
      </c>
      <c r="S29" s="847">
        <v>0</v>
      </c>
    </row>
    <row r="30" spans="1:19">
      <c r="A30" s="1076">
        <f t="shared" ref="A30:A78" si="4">A29+0.01</f>
        <v>5.0299999999999994</v>
      </c>
      <c r="B30" s="847" t="s">
        <v>1017</v>
      </c>
      <c r="C30" s="1046">
        <f t="shared" si="0"/>
        <v>243740.67</v>
      </c>
      <c r="D30" s="1046">
        <f t="shared" si="1"/>
        <v>142302.27000000002</v>
      </c>
      <c r="E30" s="1046"/>
      <c r="F30" s="1046"/>
      <c r="G30" s="1046">
        <f t="shared" si="2"/>
        <v>193021</v>
      </c>
      <c r="H30" s="1046"/>
      <c r="I30" s="1046">
        <f t="shared" si="3"/>
        <v>60407.625</v>
      </c>
      <c r="J30" s="1046">
        <f t="shared" si="3"/>
        <v>81470.865000000005</v>
      </c>
      <c r="K30" s="1046">
        <f t="shared" si="3"/>
        <v>51142.979999999996</v>
      </c>
      <c r="L30" s="1046"/>
      <c r="M30" s="1103">
        <v>76280.58</v>
      </c>
      <c r="N30" s="1103">
        <v>102878.58</v>
      </c>
      <c r="O30" s="847">
        <v>64581.51</v>
      </c>
      <c r="P30" s="1046"/>
      <c r="Q30" s="1103">
        <v>44534.67</v>
      </c>
      <c r="R30" s="1103">
        <v>60063.15</v>
      </c>
      <c r="S30" s="847">
        <v>37704.449999999997</v>
      </c>
    </row>
    <row r="31" spans="1:19">
      <c r="A31" s="1076">
        <f t="shared" si="4"/>
        <v>5.0399999999999991</v>
      </c>
      <c r="B31" s="847" t="s">
        <v>1018</v>
      </c>
      <c r="C31" s="1046">
        <f>SUM(M31:O31)</f>
        <v>46775.82</v>
      </c>
      <c r="D31" s="1046">
        <f>SUM(Q31:S31)</f>
        <v>26467.56</v>
      </c>
      <c r="E31" s="1046"/>
      <c r="F31" s="1046"/>
      <c r="G31" s="1046">
        <f t="shared" si="2"/>
        <v>36622</v>
      </c>
      <c r="H31" s="1046"/>
      <c r="I31" s="1046">
        <f t="shared" si="3"/>
        <v>0</v>
      </c>
      <c r="J31" s="1046">
        <f t="shared" si="3"/>
        <v>0</v>
      </c>
      <c r="K31" s="1046">
        <f t="shared" si="3"/>
        <v>36621.69</v>
      </c>
      <c r="L31" s="1046"/>
      <c r="M31" s="847">
        <v>0</v>
      </c>
      <c r="N31" s="847">
        <v>0</v>
      </c>
      <c r="O31" s="847">
        <v>46775.82</v>
      </c>
      <c r="P31" s="1046"/>
      <c r="Q31" s="847">
        <v>0</v>
      </c>
      <c r="R31" s="847">
        <v>0</v>
      </c>
      <c r="S31" s="847">
        <v>26467.56</v>
      </c>
    </row>
    <row r="32" spans="1:19">
      <c r="A32" s="1076">
        <f t="shared" si="4"/>
        <v>5.0499999999999989</v>
      </c>
      <c r="B32" s="847" t="s">
        <v>1019</v>
      </c>
      <c r="C32" s="1046">
        <f t="shared" si="0"/>
        <v>-0.12</v>
      </c>
      <c r="D32" s="1046">
        <f t="shared" si="1"/>
        <v>-0.12</v>
      </c>
      <c r="E32" s="1046"/>
      <c r="F32" s="1046"/>
      <c r="G32" s="1046">
        <f t="shared" si="2"/>
        <v>0</v>
      </c>
      <c r="H32" s="1046"/>
      <c r="I32" s="1046">
        <f t="shared" si="3"/>
        <v>0</v>
      </c>
      <c r="J32" s="1046">
        <f t="shared" si="3"/>
        <v>-0.12</v>
      </c>
      <c r="K32" s="1046">
        <f t="shared" si="3"/>
        <v>0</v>
      </c>
      <c r="L32" s="1046"/>
      <c r="M32" s="847">
        <v>0</v>
      </c>
      <c r="N32" s="847">
        <v>-0.12</v>
      </c>
      <c r="O32" s="847">
        <v>0</v>
      </c>
      <c r="P32" s="1046"/>
      <c r="Q32" s="847">
        <v>0</v>
      </c>
      <c r="R32" s="847">
        <v>-0.12</v>
      </c>
      <c r="S32" s="847">
        <v>0</v>
      </c>
    </row>
    <row r="33" spans="1:19">
      <c r="A33" s="1076">
        <f t="shared" si="4"/>
        <v>5.0599999999999987</v>
      </c>
      <c r="B33" s="847" t="s">
        <v>1020</v>
      </c>
      <c r="C33" s="1046">
        <f t="shared" ref="C33:C40" si="5">SUM(M33:O33)</f>
        <v>2219071.8199999998</v>
      </c>
      <c r="D33" s="1046">
        <f t="shared" ref="D33:D40" si="6">SUM(Q33:S33)</f>
        <v>2219071.8199999998</v>
      </c>
      <c r="E33" s="1046"/>
      <c r="F33" s="1046"/>
      <c r="G33" s="1046">
        <f t="shared" si="2"/>
        <v>2219072</v>
      </c>
      <c r="H33" s="1046"/>
      <c r="I33" s="1046">
        <f t="shared" si="3"/>
        <v>1923288.92</v>
      </c>
      <c r="J33" s="1046">
        <f t="shared" si="3"/>
        <v>82604.759999999995</v>
      </c>
      <c r="K33" s="1046">
        <f t="shared" si="3"/>
        <v>213178.14</v>
      </c>
      <c r="L33" s="1046"/>
      <c r="M33" s="847">
        <v>1923288.92</v>
      </c>
      <c r="N33" s="847">
        <v>82604.759999999995</v>
      </c>
      <c r="O33" s="847">
        <v>213178.14</v>
      </c>
      <c r="P33" s="1046"/>
      <c r="Q33" s="847">
        <v>1923288.92</v>
      </c>
      <c r="R33" s="847">
        <v>82604.759999999995</v>
      </c>
      <c r="S33" s="847">
        <v>213178.14</v>
      </c>
    </row>
    <row r="34" spans="1:19">
      <c r="A34" s="1076">
        <f t="shared" si="4"/>
        <v>5.0699999999999985</v>
      </c>
      <c r="B34" s="847" t="s">
        <v>1021</v>
      </c>
      <c r="C34" s="1050">
        <f t="shared" si="5"/>
        <v>13815547.059999999</v>
      </c>
      <c r="D34" s="1050">
        <f t="shared" si="6"/>
        <v>13185196.459999999</v>
      </c>
      <c r="E34" s="1050"/>
      <c r="F34" s="1050"/>
      <c r="G34" s="1050">
        <f t="shared" si="2"/>
        <v>13500372</v>
      </c>
      <c r="H34" s="1050"/>
      <c r="I34" s="1050">
        <f t="shared" si="3"/>
        <v>13467447.809999999</v>
      </c>
      <c r="J34" s="1050">
        <f t="shared" si="3"/>
        <v>-435.15</v>
      </c>
      <c r="K34" s="1050">
        <f t="shared" si="3"/>
        <v>33359.1</v>
      </c>
      <c r="L34" s="1050"/>
      <c r="M34" s="1103">
        <v>13778761.859999999</v>
      </c>
      <c r="N34" s="1103">
        <v>-416.63</v>
      </c>
      <c r="O34" s="847">
        <v>37201.83</v>
      </c>
      <c r="P34" s="1046"/>
      <c r="Q34" s="1103">
        <v>13156133.76</v>
      </c>
      <c r="R34" s="1103">
        <v>-453.67</v>
      </c>
      <c r="S34" s="847">
        <v>29516.37</v>
      </c>
    </row>
    <row r="35" spans="1:19">
      <c r="A35" s="1076">
        <f t="shared" si="4"/>
        <v>5.0799999999999983</v>
      </c>
      <c r="B35" s="847" t="s">
        <v>1022</v>
      </c>
      <c r="C35" s="1050">
        <f t="shared" si="5"/>
        <v>-1343474.99</v>
      </c>
      <c r="D35" s="1050">
        <f t="shared" si="6"/>
        <v>-1343474.99</v>
      </c>
      <c r="E35" s="1050"/>
      <c r="F35" s="1050"/>
      <c r="G35" s="1050">
        <f t="shared" si="2"/>
        <v>-1343475</v>
      </c>
      <c r="H35" s="1050"/>
      <c r="I35" s="1050">
        <f t="shared" si="3"/>
        <v>-1343474.99</v>
      </c>
      <c r="J35" s="1050">
        <f t="shared" si="3"/>
        <v>0</v>
      </c>
      <c r="K35" s="1050">
        <f t="shared" si="3"/>
        <v>0</v>
      </c>
      <c r="L35" s="1050"/>
      <c r="M35" s="847">
        <v>-1343474.99</v>
      </c>
      <c r="N35" s="847">
        <v>0</v>
      </c>
      <c r="O35" s="847">
        <v>0</v>
      </c>
      <c r="P35" s="1050"/>
      <c r="Q35" s="847">
        <v>-1343474.99</v>
      </c>
      <c r="R35" s="847">
        <v>0</v>
      </c>
      <c r="S35" s="847">
        <v>0</v>
      </c>
    </row>
    <row r="36" spans="1:19">
      <c r="A36" s="1076">
        <f t="shared" si="4"/>
        <v>5.0899999999999981</v>
      </c>
      <c r="B36" s="847" t="s">
        <v>1256</v>
      </c>
      <c r="C36" s="1046">
        <f>SUM(M36:O36)</f>
        <v>-7343791.9800000004</v>
      </c>
      <c r="D36" s="1046">
        <f t="shared" ref="D36" si="7">SUM(Q36:S36)</f>
        <v>0</v>
      </c>
      <c r="E36" s="1046"/>
      <c r="F36" s="1046"/>
      <c r="G36" s="1046">
        <f>ROUND(SUM(C36:F36)/2,0)</f>
        <v>-3671896</v>
      </c>
      <c r="H36" s="1046"/>
      <c r="I36" s="1046">
        <f t="shared" ref="I36" si="8">(M36+Q36)/2</f>
        <v>0</v>
      </c>
      <c r="J36" s="1046">
        <f t="shared" ref="J36" si="9">(N36+R36)/2</f>
        <v>-3671895.99</v>
      </c>
      <c r="K36" s="1046">
        <f t="shared" ref="K36" si="10">(O36+S36)/2</f>
        <v>0</v>
      </c>
      <c r="L36" s="1046"/>
      <c r="M36" s="847">
        <v>0</v>
      </c>
      <c r="N36" s="847">
        <v>-7343791.9800000004</v>
      </c>
      <c r="O36" s="847"/>
      <c r="P36" s="1046"/>
      <c r="Q36" s="847">
        <v>0</v>
      </c>
      <c r="R36" s="847">
        <v>0</v>
      </c>
      <c r="S36" s="847"/>
    </row>
    <row r="37" spans="1:19">
      <c r="A37" s="1076">
        <f t="shared" si="4"/>
        <v>5.0999999999999979</v>
      </c>
      <c r="B37" s="847" t="s">
        <v>1023</v>
      </c>
      <c r="C37" s="1046">
        <f>SUM(M37:O37)</f>
        <v>14068016.939999999</v>
      </c>
      <c r="D37" s="1046">
        <f t="shared" si="6"/>
        <v>13398111.27</v>
      </c>
      <c r="E37" s="1046"/>
      <c r="F37" s="1046"/>
      <c r="G37" s="1046">
        <f>ROUND(SUM(C37:F37)/2,0)</f>
        <v>13733064</v>
      </c>
      <c r="H37" s="1046"/>
      <c r="I37" s="1046">
        <f t="shared" si="3"/>
        <v>13733064.105</v>
      </c>
      <c r="J37" s="1046">
        <f t="shared" si="3"/>
        <v>0</v>
      </c>
      <c r="K37" s="1046">
        <f t="shared" si="3"/>
        <v>0</v>
      </c>
      <c r="L37" s="1046"/>
      <c r="M37" s="847">
        <v>14068016.939999999</v>
      </c>
      <c r="N37" s="847">
        <v>0</v>
      </c>
      <c r="O37" s="847">
        <v>0</v>
      </c>
      <c r="P37" s="1046"/>
      <c r="Q37" s="847">
        <v>13398111.27</v>
      </c>
      <c r="R37" s="847">
        <v>0</v>
      </c>
      <c r="S37" s="847">
        <v>0</v>
      </c>
    </row>
    <row r="38" spans="1:19">
      <c r="A38" s="1076">
        <f t="shared" si="4"/>
        <v>5.1099999999999977</v>
      </c>
      <c r="B38" s="847" t="s">
        <v>1024</v>
      </c>
      <c r="C38" s="1046">
        <f t="shared" si="5"/>
        <v>43856216.210000001</v>
      </c>
      <c r="D38" s="1046">
        <f t="shared" si="6"/>
        <v>42823751.209999993</v>
      </c>
      <c r="E38" s="1046"/>
      <c r="F38" s="1046"/>
      <c r="G38" s="1046">
        <f t="shared" si="2"/>
        <v>43339984</v>
      </c>
      <c r="H38" s="1046"/>
      <c r="I38" s="1046">
        <f t="shared" si="3"/>
        <v>43339983.709999993</v>
      </c>
      <c r="J38" s="1046">
        <f t="shared" si="3"/>
        <v>0</v>
      </c>
      <c r="K38" s="1046">
        <f t="shared" si="3"/>
        <v>0</v>
      </c>
      <c r="L38" s="1046"/>
      <c r="M38" s="847">
        <v>43856216.210000001</v>
      </c>
      <c r="N38" s="847">
        <v>0</v>
      </c>
      <c r="O38" s="847">
        <v>0</v>
      </c>
      <c r="P38" s="1046"/>
      <c r="Q38" s="847">
        <v>42823751.209999993</v>
      </c>
      <c r="R38" s="847">
        <v>0</v>
      </c>
      <c r="S38" s="847">
        <v>0</v>
      </c>
    </row>
    <row r="39" spans="1:19">
      <c r="A39" s="1076">
        <f t="shared" si="4"/>
        <v>5.1199999999999974</v>
      </c>
      <c r="B39" s="847" t="s">
        <v>1025</v>
      </c>
      <c r="C39" s="1046">
        <f t="shared" si="5"/>
        <v>80831635.520000011</v>
      </c>
      <c r="D39" s="1046">
        <f t="shared" si="6"/>
        <v>79734453.579999983</v>
      </c>
      <c r="E39" s="1046"/>
      <c r="F39" s="1046"/>
      <c r="G39" s="1046">
        <f t="shared" si="2"/>
        <v>80283045</v>
      </c>
      <c r="H39" s="1046"/>
      <c r="I39" s="1046">
        <f t="shared" si="3"/>
        <v>36295536.405000001</v>
      </c>
      <c r="J39" s="1046">
        <f t="shared" si="3"/>
        <v>6728752.4249999998</v>
      </c>
      <c r="K39" s="1046">
        <f t="shared" si="3"/>
        <v>37258755.719999999</v>
      </c>
      <c r="L39" s="1046"/>
      <c r="M39" s="847">
        <v>37117557.850000001</v>
      </c>
      <c r="N39" s="847">
        <v>6766497.3099999996</v>
      </c>
      <c r="O39" s="847">
        <v>36947580.359999999</v>
      </c>
      <c r="P39" s="1046"/>
      <c r="Q39" s="847">
        <v>35473514.959999993</v>
      </c>
      <c r="R39" s="847">
        <v>6691007.54</v>
      </c>
      <c r="S39" s="847">
        <v>37569931.079999998</v>
      </c>
    </row>
    <row r="40" spans="1:19">
      <c r="A40" s="1076">
        <f t="shared" si="4"/>
        <v>5.1299999999999972</v>
      </c>
      <c r="B40" s="847" t="s">
        <v>1026</v>
      </c>
      <c r="C40" s="1046">
        <f t="shared" si="5"/>
        <v>-7935566.2800000003</v>
      </c>
      <c r="D40" s="1046">
        <f t="shared" si="6"/>
        <v>-7935566.2800000003</v>
      </c>
      <c r="E40" s="1046"/>
      <c r="F40" s="1046"/>
      <c r="G40" s="1046">
        <f t="shared" si="2"/>
        <v>-7935566</v>
      </c>
      <c r="H40" s="1046"/>
      <c r="I40" s="1046">
        <f t="shared" si="3"/>
        <v>-7935566.2800000003</v>
      </c>
      <c r="J40" s="1046">
        <f t="shared" si="3"/>
        <v>0</v>
      </c>
      <c r="K40" s="1046">
        <f t="shared" si="3"/>
        <v>0</v>
      </c>
      <c r="L40" s="1046"/>
      <c r="M40" s="847">
        <v>-7935566.2800000003</v>
      </c>
      <c r="N40" s="847">
        <v>0</v>
      </c>
      <c r="O40" s="847">
        <v>0</v>
      </c>
      <c r="P40" s="1046"/>
      <c r="Q40" s="847">
        <v>-7935566.2800000003</v>
      </c>
      <c r="R40" s="847">
        <v>0</v>
      </c>
      <c r="S40" s="847">
        <v>0</v>
      </c>
    </row>
    <row r="41" spans="1:19">
      <c r="A41" s="1076">
        <f t="shared" si="4"/>
        <v>5.139999999999997</v>
      </c>
      <c r="B41" s="847" t="s">
        <v>1027</v>
      </c>
      <c r="C41" s="1046">
        <f t="shared" si="0"/>
        <v>667660.70000000007</v>
      </c>
      <c r="D41" s="1046">
        <f t="shared" si="1"/>
        <v>638448.2300000001</v>
      </c>
      <c r="E41" s="1046"/>
      <c r="F41" s="1046"/>
      <c r="G41" s="1046">
        <f t="shared" si="2"/>
        <v>653054</v>
      </c>
      <c r="H41" s="1046"/>
      <c r="I41" s="1046">
        <f t="shared" si="3"/>
        <v>653050.44500000007</v>
      </c>
      <c r="J41" s="1046">
        <f t="shared" si="3"/>
        <v>1.7200000000000002</v>
      </c>
      <c r="K41" s="1046">
        <f t="shared" si="3"/>
        <v>2.2999999999999998</v>
      </c>
      <c r="L41" s="1046"/>
      <c r="M41" s="847">
        <v>667661.30000000005</v>
      </c>
      <c r="N41" s="847">
        <v>-0.28000000000000003</v>
      </c>
      <c r="O41" s="847">
        <v>-0.32</v>
      </c>
      <c r="P41" s="1046"/>
      <c r="Q41" s="847">
        <v>638439.59000000008</v>
      </c>
      <c r="R41" s="847">
        <v>3.72</v>
      </c>
      <c r="S41" s="847">
        <v>4.92</v>
      </c>
    </row>
    <row r="42" spans="1:19">
      <c r="A42" s="1076">
        <f t="shared" si="4"/>
        <v>5.1499999999999968</v>
      </c>
      <c r="B42" s="847" t="s">
        <v>1028</v>
      </c>
      <c r="C42" s="1046">
        <f t="shared" si="0"/>
        <v>1536746.25</v>
      </c>
      <c r="D42" s="1046">
        <f t="shared" si="1"/>
        <v>1647116.58</v>
      </c>
      <c r="E42" s="1046"/>
      <c r="F42" s="1046"/>
      <c r="G42" s="1046">
        <f t="shared" si="2"/>
        <v>1591931</v>
      </c>
      <c r="H42" s="1046"/>
      <c r="I42" s="1046">
        <f t="shared" si="3"/>
        <v>0</v>
      </c>
      <c r="J42" s="1046">
        <f t="shared" si="3"/>
        <v>1591931.415</v>
      </c>
      <c r="K42" s="1046">
        <f t="shared" si="3"/>
        <v>0</v>
      </c>
      <c r="L42" s="1046"/>
      <c r="M42" s="847">
        <v>0</v>
      </c>
      <c r="N42" s="847">
        <v>1536746.25</v>
      </c>
      <c r="O42" s="847">
        <v>0</v>
      </c>
      <c r="P42" s="1046"/>
      <c r="Q42" s="847">
        <v>0</v>
      </c>
      <c r="R42" s="847">
        <v>1647116.58</v>
      </c>
      <c r="S42" s="847">
        <v>0</v>
      </c>
    </row>
    <row r="43" spans="1:19">
      <c r="A43" s="1076">
        <f t="shared" si="4"/>
        <v>5.1599999999999966</v>
      </c>
      <c r="B43" s="847" t="s">
        <v>1029</v>
      </c>
      <c r="C43" s="1046">
        <f t="shared" si="0"/>
        <v>9281.6</v>
      </c>
      <c r="D43" s="1046">
        <f t="shared" si="1"/>
        <v>7770.9799999999959</v>
      </c>
      <c r="E43" s="1046"/>
      <c r="F43" s="1046"/>
      <c r="G43" s="1046">
        <f t="shared" si="2"/>
        <v>8526</v>
      </c>
      <c r="H43" s="1046"/>
      <c r="I43" s="1046">
        <f t="shared" si="3"/>
        <v>0</v>
      </c>
      <c r="J43" s="1046">
        <f t="shared" si="3"/>
        <v>3030.8099999999986</v>
      </c>
      <c r="K43" s="1046">
        <f t="shared" si="3"/>
        <v>5495.48</v>
      </c>
      <c r="L43" s="1046"/>
      <c r="M43" s="847">
        <v>0</v>
      </c>
      <c r="N43" s="847">
        <v>3307.81</v>
      </c>
      <c r="O43" s="847">
        <v>5973.79</v>
      </c>
      <c r="P43" s="1046"/>
      <c r="Q43" s="847">
        <v>0</v>
      </c>
      <c r="R43" s="847">
        <v>2753.8099999999977</v>
      </c>
      <c r="S43" s="847">
        <v>5017.1699999999983</v>
      </c>
    </row>
    <row r="44" spans="1:19">
      <c r="A44" s="1076">
        <f t="shared" si="4"/>
        <v>5.1699999999999964</v>
      </c>
      <c r="B44" s="847" t="s">
        <v>1030</v>
      </c>
      <c r="C44" s="1046">
        <f t="shared" si="0"/>
        <v>4697.17</v>
      </c>
      <c r="D44" s="1046">
        <f t="shared" si="1"/>
        <v>5462</v>
      </c>
      <c r="E44" s="1046"/>
      <c r="F44" s="1046"/>
      <c r="G44" s="1046">
        <f t="shared" si="2"/>
        <v>5080</v>
      </c>
      <c r="H44" s="1046"/>
      <c r="I44" s="1046">
        <f t="shared" si="3"/>
        <v>0</v>
      </c>
      <c r="J44" s="1046">
        <f t="shared" si="3"/>
        <v>0</v>
      </c>
      <c r="K44" s="1046">
        <f t="shared" si="3"/>
        <v>5079.585</v>
      </c>
      <c r="L44" s="1046"/>
      <c r="M44" s="847">
        <v>0</v>
      </c>
      <c r="N44" s="847">
        <v>0</v>
      </c>
      <c r="O44" s="847">
        <v>4697.17</v>
      </c>
      <c r="P44" s="1046"/>
      <c r="Q44" s="847">
        <v>0</v>
      </c>
      <c r="R44" s="847">
        <v>0</v>
      </c>
      <c r="S44" s="847">
        <v>5462</v>
      </c>
    </row>
    <row r="45" spans="1:19">
      <c r="A45" s="1076">
        <f t="shared" si="4"/>
        <v>5.1799999999999962</v>
      </c>
      <c r="B45" s="847" t="s">
        <v>1031</v>
      </c>
      <c r="C45" s="1046">
        <f t="shared" si="0"/>
        <v>0</v>
      </c>
      <c r="D45" s="1046">
        <f t="shared" si="1"/>
        <v>0</v>
      </c>
      <c r="E45" s="1046"/>
      <c r="F45" s="1046"/>
      <c r="G45" s="1046">
        <f t="shared" si="2"/>
        <v>0</v>
      </c>
      <c r="H45" s="1046"/>
      <c r="I45" s="1046">
        <f t="shared" si="3"/>
        <v>0</v>
      </c>
      <c r="J45" s="1046">
        <f t="shared" si="3"/>
        <v>0</v>
      </c>
      <c r="K45" s="1046">
        <f t="shared" si="3"/>
        <v>0</v>
      </c>
      <c r="L45" s="1046"/>
      <c r="M45" s="847">
        <v>0</v>
      </c>
      <c r="N45" s="847">
        <v>0</v>
      </c>
      <c r="O45" s="847">
        <v>0</v>
      </c>
      <c r="P45" s="1046"/>
      <c r="Q45" s="847">
        <v>0</v>
      </c>
      <c r="R45" s="847">
        <v>0</v>
      </c>
      <c r="S45" s="847">
        <v>0</v>
      </c>
    </row>
    <row r="46" spans="1:19">
      <c r="A46" s="1076">
        <f t="shared" si="4"/>
        <v>5.1899999999999959</v>
      </c>
      <c r="B46" s="847" t="s">
        <v>1032</v>
      </c>
      <c r="C46" s="1046">
        <f t="shared" si="0"/>
        <v>0</v>
      </c>
      <c r="D46" s="1046">
        <f t="shared" si="1"/>
        <v>0</v>
      </c>
      <c r="E46" s="1046"/>
      <c r="F46" s="1046"/>
      <c r="G46" s="1046">
        <f t="shared" si="2"/>
        <v>0</v>
      </c>
      <c r="H46" s="1046"/>
      <c r="I46" s="1046">
        <f t="shared" si="3"/>
        <v>0</v>
      </c>
      <c r="J46" s="1046">
        <f t="shared" si="3"/>
        <v>0</v>
      </c>
      <c r="K46" s="1046">
        <f t="shared" si="3"/>
        <v>0</v>
      </c>
      <c r="L46" s="1046"/>
      <c r="M46" s="847">
        <v>0</v>
      </c>
      <c r="N46" s="847">
        <v>0</v>
      </c>
      <c r="O46" s="847">
        <v>0</v>
      </c>
      <c r="P46" s="1046"/>
      <c r="Q46" s="847">
        <v>0</v>
      </c>
      <c r="R46" s="847">
        <v>0</v>
      </c>
      <c r="S46" s="847">
        <v>0</v>
      </c>
    </row>
    <row r="47" spans="1:19">
      <c r="A47" s="1076">
        <f t="shared" si="4"/>
        <v>5.1999999999999957</v>
      </c>
      <c r="B47" s="847" t="s">
        <v>1033</v>
      </c>
      <c r="C47" s="1046">
        <f t="shared" si="0"/>
        <v>-42119.61</v>
      </c>
      <c r="D47" s="1046">
        <f t="shared" si="1"/>
        <v>-42119.61</v>
      </c>
      <c r="E47" s="1046"/>
      <c r="F47" s="1046"/>
      <c r="G47" s="1046">
        <f t="shared" si="2"/>
        <v>-42120</v>
      </c>
      <c r="H47" s="1046"/>
      <c r="I47" s="1046">
        <f t="shared" si="3"/>
        <v>-39563.67</v>
      </c>
      <c r="J47" s="1046">
        <f t="shared" si="3"/>
        <v>-1212.93</v>
      </c>
      <c r="K47" s="1046">
        <f t="shared" si="3"/>
        <v>-1343.01</v>
      </c>
      <c r="L47" s="1046"/>
      <c r="M47" s="847">
        <v>-39563.67</v>
      </c>
      <c r="N47" s="847">
        <v>-1212.93</v>
      </c>
      <c r="O47" s="847">
        <v>-1343.01</v>
      </c>
      <c r="P47" s="1046"/>
      <c r="Q47" s="847">
        <v>-39563.67</v>
      </c>
      <c r="R47" s="847">
        <v>-1212.93</v>
      </c>
      <c r="S47" s="847">
        <v>-1343.01</v>
      </c>
    </row>
    <row r="48" spans="1:19">
      <c r="A48" s="1076">
        <f t="shared" si="4"/>
        <v>5.2099999999999955</v>
      </c>
      <c r="B48" s="847" t="s">
        <v>1034</v>
      </c>
      <c r="C48" s="1046">
        <f t="shared" si="0"/>
        <v>0</v>
      </c>
      <c r="D48" s="1046">
        <f t="shared" si="1"/>
        <v>0</v>
      </c>
      <c r="E48" s="1046"/>
      <c r="F48" s="1046"/>
      <c r="G48" s="1046">
        <f t="shared" si="2"/>
        <v>0</v>
      </c>
      <c r="H48" s="1046"/>
      <c r="I48" s="1046">
        <f t="shared" si="3"/>
        <v>0</v>
      </c>
      <c r="J48" s="1046">
        <f t="shared" si="3"/>
        <v>0</v>
      </c>
      <c r="K48" s="1046">
        <f t="shared" si="3"/>
        <v>0</v>
      </c>
      <c r="L48" s="1046"/>
      <c r="M48" s="847">
        <v>0</v>
      </c>
      <c r="N48" s="847">
        <v>0</v>
      </c>
      <c r="O48" s="847">
        <v>0</v>
      </c>
      <c r="P48" s="1046"/>
      <c r="Q48" s="847">
        <v>0</v>
      </c>
      <c r="R48" s="847">
        <v>0</v>
      </c>
      <c r="S48" s="847">
        <v>0</v>
      </c>
    </row>
    <row r="49" spans="1:19">
      <c r="A49" s="1076">
        <f t="shared" si="4"/>
        <v>5.2199999999999953</v>
      </c>
      <c r="B49" s="847" t="s">
        <v>1035</v>
      </c>
      <c r="C49" s="1046">
        <f t="shared" si="0"/>
        <v>9183901.5500000007</v>
      </c>
      <c r="D49" s="1046">
        <f t="shared" si="1"/>
        <v>8480212.5500000007</v>
      </c>
      <c r="E49" s="1046"/>
      <c r="F49" s="1046"/>
      <c r="G49" s="1046">
        <f t="shared" si="2"/>
        <v>8832057</v>
      </c>
      <c r="H49" s="1046"/>
      <c r="I49" s="1046">
        <f t="shared" si="3"/>
        <v>5880806.4000000004</v>
      </c>
      <c r="J49" s="1046">
        <f t="shared" si="3"/>
        <v>968447.31000000029</v>
      </c>
      <c r="K49" s="1046">
        <f t="shared" si="3"/>
        <v>1982803.3399999999</v>
      </c>
      <c r="L49" s="1046"/>
      <c r="M49" s="847">
        <v>6078620.4000000004</v>
      </c>
      <c r="N49" s="847">
        <v>1020920.81</v>
      </c>
      <c r="O49" s="847">
        <v>2084360.34</v>
      </c>
      <c r="P49" s="1046"/>
      <c r="Q49" s="847">
        <v>5682992.3999999994</v>
      </c>
      <c r="R49" s="847">
        <v>915973.81000000052</v>
      </c>
      <c r="S49" s="847">
        <v>1881246.3399999999</v>
      </c>
    </row>
    <row r="50" spans="1:19">
      <c r="A50" s="1076">
        <f t="shared" si="4"/>
        <v>5.2299999999999951</v>
      </c>
      <c r="B50" s="847" t="s">
        <v>1036</v>
      </c>
      <c r="C50" s="1046">
        <f t="shared" ref="C50:C56" si="11">SUM(M50:O50)</f>
        <v>107920688.29000001</v>
      </c>
      <c r="D50" s="1046">
        <f t="shared" ref="D50:D56" si="12">SUM(Q50:S50)</f>
        <v>150238936.56</v>
      </c>
      <c r="E50" s="1046"/>
      <c r="F50" s="1046"/>
      <c r="G50" s="1046">
        <f t="shared" si="2"/>
        <v>129079812</v>
      </c>
      <c r="H50" s="1046"/>
      <c r="I50" s="1046">
        <f t="shared" si="3"/>
        <v>74917556.674999997</v>
      </c>
      <c r="J50" s="1046">
        <f t="shared" si="3"/>
        <v>17055749.419999998</v>
      </c>
      <c r="K50" s="1046">
        <f t="shared" si="3"/>
        <v>37106506.329999998</v>
      </c>
      <c r="L50" s="1046"/>
      <c r="M50" s="847">
        <v>72558408.579999998</v>
      </c>
      <c r="N50" s="847">
        <v>10452416.26</v>
      </c>
      <c r="O50" s="847">
        <v>24909863.449999999</v>
      </c>
      <c r="P50" s="1046"/>
      <c r="Q50" s="847">
        <v>77276704.769999996</v>
      </c>
      <c r="R50" s="847">
        <v>23659082.579999998</v>
      </c>
      <c r="S50" s="847">
        <v>49303149.210000001</v>
      </c>
    </row>
    <row r="51" spans="1:19">
      <c r="A51" s="1076">
        <f t="shared" si="4"/>
        <v>5.2399999999999949</v>
      </c>
      <c r="B51" s="847" t="s">
        <v>1037</v>
      </c>
      <c r="C51" s="1046">
        <f t="shared" si="11"/>
        <v>159718932</v>
      </c>
      <c r="D51" s="1046">
        <f t="shared" si="12"/>
        <v>159718932</v>
      </c>
      <c r="E51" s="1046"/>
      <c r="F51" s="1046"/>
      <c r="G51" s="1046">
        <f t="shared" si="2"/>
        <v>159718932</v>
      </c>
      <c r="H51" s="1046"/>
      <c r="I51" s="1046">
        <f t="shared" si="3"/>
        <v>53876008.799999997</v>
      </c>
      <c r="J51" s="1046">
        <f t="shared" si="3"/>
        <v>34206422.670000002</v>
      </c>
      <c r="K51" s="1046">
        <f t="shared" si="3"/>
        <v>71636500.530000001</v>
      </c>
      <c r="L51" s="1046"/>
      <c r="M51" s="847">
        <v>53876008.799999997</v>
      </c>
      <c r="N51" s="847">
        <v>34206422.670000002</v>
      </c>
      <c r="O51" s="847">
        <v>71636500.530000001</v>
      </c>
      <c r="P51" s="1046"/>
      <c r="Q51" s="847">
        <v>53876008.799999997</v>
      </c>
      <c r="R51" s="847">
        <v>34206422.670000002</v>
      </c>
      <c r="S51" s="847">
        <v>71636500.530000001</v>
      </c>
    </row>
    <row r="52" spans="1:19">
      <c r="A52" s="1076">
        <f t="shared" si="4"/>
        <v>5.2499999999999947</v>
      </c>
      <c r="B52" s="847" t="s">
        <v>1038</v>
      </c>
      <c r="C52" s="1046">
        <f t="shared" si="11"/>
        <v>21895050.449999999</v>
      </c>
      <c r="D52" s="1046">
        <f t="shared" si="12"/>
        <v>32020718.940000001</v>
      </c>
      <c r="E52" s="1046"/>
      <c r="F52" s="1046"/>
      <c r="G52" s="1046">
        <f t="shared" ref="G52:G57" si="13">ROUND(SUM(C52:F52)/2,0)</f>
        <v>26957885</v>
      </c>
      <c r="H52" s="1046"/>
      <c r="I52" s="1046">
        <f t="shared" si="3"/>
        <v>0</v>
      </c>
      <c r="J52" s="1046">
        <f t="shared" si="3"/>
        <v>11294690.085000001</v>
      </c>
      <c r="K52" s="1046">
        <f t="shared" si="3"/>
        <v>15663194.609999999</v>
      </c>
      <c r="L52" s="1046"/>
      <c r="M52" s="847">
        <v>0</v>
      </c>
      <c r="N52" s="847">
        <v>8450431.9199999999</v>
      </c>
      <c r="O52" s="847">
        <v>13444618.529999999</v>
      </c>
      <c r="P52" s="1046"/>
      <c r="Q52" s="847">
        <v>0</v>
      </c>
      <c r="R52" s="847">
        <v>14138948.25</v>
      </c>
      <c r="S52" s="847">
        <v>17881770.690000001</v>
      </c>
    </row>
    <row r="53" spans="1:19">
      <c r="A53" s="1076">
        <f t="shared" si="4"/>
        <v>5.2599999999999945</v>
      </c>
      <c r="B53" s="847" t="s">
        <v>1039</v>
      </c>
      <c r="C53" s="1046">
        <f t="shared" si="11"/>
        <v>31308655.98</v>
      </c>
      <c r="D53" s="1046">
        <f t="shared" si="12"/>
        <v>32886408.030000001</v>
      </c>
      <c r="E53" s="1046"/>
      <c r="F53" s="1046"/>
      <c r="G53" s="1046">
        <f t="shared" si="13"/>
        <v>32097532</v>
      </c>
      <c r="H53" s="1046"/>
      <c r="I53" s="1046">
        <f t="shared" si="3"/>
        <v>4169531.415</v>
      </c>
      <c r="J53" s="1046">
        <f t="shared" si="3"/>
        <v>0</v>
      </c>
      <c r="K53" s="1046">
        <f t="shared" si="3"/>
        <v>27928000.59</v>
      </c>
      <c r="L53" s="1046"/>
      <c r="M53" s="847">
        <v>3380655.39</v>
      </c>
      <c r="N53" s="847">
        <v>0</v>
      </c>
      <c r="O53" s="847">
        <v>27928000.59</v>
      </c>
      <c r="P53" s="1046"/>
      <c r="Q53" s="847">
        <v>4958407.4400000004</v>
      </c>
      <c r="R53" s="847">
        <v>0</v>
      </c>
      <c r="S53" s="847">
        <v>27928000.59</v>
      </c>
    </row>
    <row r="54" spans="1:19">
      <c r="A54" s="1076">
        <f t="shared" si="4"/>
        <v>5.2699999999999942</v>
      </c>
      <c r="B54" s="847" t="s">
        <v>1040</v>
      </c>
      <c r="C54" s="1046">
        <f t="shared" si="11"/>
        <v>16142770.619999999</v>
      </c>
      <c r="D54" s="1046">
        <f t="shared" si="12"/>
        <v>16142770.619999999</v>
      </c>
      <c r="E54" s="1046"/>
      <c r="F54" s="1046"/>
      <c r="G54" s="1046">
        <f t="shared" si="13"/>
        <v>16142771</v>
      </c>
      <c r="H54" s="1046"/>
      <c r="I54" s="1046">
        <f t="shared" si="3"/>
        <v>16142770.619999999</v>
      </c>
      <c r="J54" s="1046">
        <f t="shared" si="3"/>
        <v>0</v>
      </c>
      <c r="K54" s="1046">
        <f t="shared" si="3"/>
        <v>0</v>
      </c>
      <c r="L54" s="1046"/>
      <c r="M54" s="847">
        <v>16142770.619999999</v>
      </c>
      <c r="N54" s="847">
        <v>0</v>
      </c>
      <c r="O54" s="847">
        <v>0</v>
      </c>
      <c r="P54" s="1046"/>
      <c r="Q54" s="847">
        <v>16142770.619999999</v>
      </c>
      <c r="R54" s="847">
        <v>0</v>
      </c>
      <c r="S54" s="847">
        <v>0</v>
      </c>
    </row>
    <row r="55" spans="1:19">
      <c r="A55" s="1076">
        <f t="shared" si="4"/>
        <v>5.279999999999994</v>
      </c>
      <c r="B55" s="847" t="s">
        <v>1041</v>
      </c>
      <c r="C55" s="1046">
        <f t="shared" si="11"/>
        <v>3157388.39</v>
      </c>
      <c r="D55" s="1046">
        <f t="shared" si="12"/>
        <v>3157388.39</v>
      </c>
      <c r="E55" s="1046"/>
      <c r="F55" s="1046"/>
      <c r="G55" s="1046">
        <f t="shared" si="13"/>
        <v>3157388</v>
      </c>
      <c r="H55" s="1046"/>
      <c r="I55" s="1046">
        <f t="shared" si="3"/>
        <v>3157388.39</v>
      </c>
      <c r="J55" s="1046">
        <f t="shared" si="3"/>
        <v>0</v>
      </c>
      <c r="K55" s="1046">
        <f t="shared" si="3"/>
        <v>0</v>
      </c>
      <c r="L55" s="1046"/>
      <c r="M55" s="847">
        <v>3157388.39</v>
      </c>
      <c r="N55" s="847">
        <v>0</v>
      </c>
      <c r="O55" s="847">
        <v>0</v>
      </c>
      <c r="P55" s="1046"/>
      <c r="Q55" s="847">
        <v>3157388.39</v>
      </c>
      <c r="R55" s="847">
        <v>0</v>
      </c>
      <c r="S55" s="847">
        <v>0</v>
      </c>
    </row>
    <row r="56" spans="1:19">
      <c r="A56" s="1076">
        <f t="shared" si="4"/>
        <v>5.2899999999999938</v>
      </c>
      <c r="B56" s="847" t="s">
        <v>1042</v>
      </c>
      <c r="C56" s="1046">
        <f t="shared" si="11"/>
        <v>1898399.1600000001</v>
      </c>
      <c r="D56" s="1046">
        <f t="shared" si="12"/>
        <v>1898399.1600000001</v>
      </c>
      <c r="E56" s="1046"/>
      <c r="F56" s="1046"/>
      <c r="G56" s="1046">
        <f t="shared" si="13"/>
        <v>1898399</v>
      </c>
      <c r="H56" s="1046"/>
      <c r="I56" s="1046">
        <f t="shared" si="3"/>
        <v>651837.9</v>
      </c>
      <c r="J56" s="1046">
        <f t="shared" si="3"/>
        <v>307759.62</v>
      </c>
      <c r="K56" s="1046">
        <f t="shared" si="3"/>
        <v>938801.64</v>
      </c>
      <c r="L56" s="1046"/>
      <c r="M56" s="847">
        <v>651837.9</v>
      </c>
      <c r="N56" s="847">
        <v>307759.62</v>
      </c>
      <c r="O56" s="847">
        <v>938801.64</v>
      </c>
      <c r="P56" s="1046"/>
      <c r="Q56" s="847">
        <v>651837.9</v>
      </c>
      <c r="R56" s="847">
        <v>307759.62</v>
      </c>
      <c r="S56" s="847">
        <v>938801.64</v>
      </c>
    </row>
    <row r="57" spans="1:19">
      <c r="A57" s="1076">
        <f t="shared" si="4"/>
        <v>5.2999999999999936</v>
      </c>
      <c r="B57" s="847" t="s">
        <v>1367</v>
      </c>
      <c r="C57" s="1046">
        <f t="shared" ref="C57" si="14">SUM(M57:O57)</f>
        <v>0</v>
      </c>
      <c r="D57" s="1046">
        <f t="shared" ref="D57" si="15">SUM(Q57:S57)</f>
        <v>470348.82999999996</v>
      </c>
      <c r="E57" s="1046"/>
      <c r="F57" s="1046"/>
      <c r="G57" s="1046">
        <f t="shared" si="13"/>
        <v>235174</v>
      </c>
      <c r="H57" s="1046"/>
      <c r="I57" s="1046">
        <f t="shared" ref="I57" si="16">(M57+Q57)/2</f>
        <v>88627.45</v>
      </c>
      <c r="J57" s="1046">
        <f t="shared" ref="J57" si="17">(N57+R57)/2</f>
        <v>35671.254999999997</v>
      </c>
      <c r="K57" s="1046">
        <f t="shared" ref="K57" si="18">(O57+S57)/2</f>
        <v>110875.71</v>
      </c>
      <c r="L57" s="1046"/>
      <c r="M57" s="847"/>
      <c r="N57" s="847"/>
      <c r="O57" s="847"/>
      <c r="P57" s="1046"/>
      <c r="Q57" s="847">
        <v>177254.9</v>
      </c>
      <c r="R57" s="847">
        <v>71342.509999999995</v>
      </c>
      <c r="S57" s="847">
        <v>221751.42</v>
      </c>
    </row>
    <row r="58" spans="1:19">
      <c r="A58" s="1076">
        <f t="shared" si="4"/>
        <v>5.3099999999999934</v>
      </c>
      <c r="B58" s="847" t="s">
        <v>1043</v>
      </c>
      <c r="C58" s="1046">
        <f t="shared" si="0"/>
        <v>2614835.04</v>
      </c>
      <c r="D58" s="1046">
        <f t="shared" si="1"/>
        <v>2997270.94</v>
      </c>
      <c r="E58" s="1046"/>
      <c r="F58" s="1046"/>
      <c r="G58" s="1046">
        <f t="shared" ref="G58:G67" si="19">ROUND(SUM(C58:F58)/2,0)</f>
        <v>2806053</v>
      </c>
      <c r="H58" s="1046"/>
      <c r="I58" s="1046">
        <f t="shared" si="3"/>
        <v>0</v>
      </c>
      <c r="J58" s="1046">
        <f t="shared" si="3"/>
        <v>300764.28999999998</v>
      </c>
      <c r="K58" s="1046">
        <f t="shared" si="3"/>
        <v>2505288.7000000002</v>
      </c>
      <c r="L58" s="1046"/>
      <c r="M58" s="847">
        <v>0</v>
      </c>
      <c r="N58" s="847">
        <v>308175.99</v>
      </c>
      <c r="O58" s="847">
        <v>2306659.0499999998</v>
      </c>
      <c r="P58" s="1046"/>
      <c r="Q58" s="847">
        <v>0</v>
      </c>
      <c r="R58" s="847">
        <v>293352.58999999997</v>
      </c>
      <c r="S58" s="847">
        <v>2703918.35</v>
      </c>
    </row>
    <row r="59" spans="1:19">
      <c r="A59" s="1076">
        <f t="shared" si="4"/>
        <v>5.3199999999999932</v>
      </c>
      <c r="B59" s="847" t="s">
        <v>1044</v>
      </c>
      <c r="C59" s="1046">
        <f t="shared" si="0"/>
        <v>6390.62</v>
      </c>
      <c r="D59" s="1046">
        <f t="shared" si="1"/>
        <v>1278.1400000000001</v>
      </c>
      <c r="E59" s="1046"/>
      <c r="F59" s="1046"/>
      <c r="G59" s="1046">
        <f t="shared" si="19"/>
        <v>3834</v>
      </c>
      <c r="H59" s="1046"/>
      <c r="I59" s="1046">
        <f t="shared" si="3"/>
        <v>0</v>
      </c>
      <c r="J59" s="1046">
        <f t="shared" si="3"/>
        <v>0</v>
      </c>
      <c r="K59" s="1046">
        <f t="shared" si="3"/>
        <v>3834.38</v>
      </c>
      <c r="L59" s="1046"/>
      <c r="M59" s="847">
        <v>0</v>
      </c>
      <c r="N59" s="847">
        <v>0</v>
      </c>
      <c r="O59" s="847">
        <v>6390.62</v>
      </c>
      <c r="P59" s="1046"/>
      <c r="Q59" s="847">
        <v>0</v>
      </c>
      <c r="R59" s="847">
        <v>0</v>
      </c>
      <c r="S59" s="847">
        <v>1278.1400000000001</v>
      </c>
    </row>
    <row r="60" spans="1:19">
      <c r="A60" s="1076">
        <f t="shared" si="4"/>
        <v>5.329999999999993</v>
      </c>
      <c r="B60" s="847" t="s">
        <v>1255</v>
      </c>
      <c r="C60" s="1046">
        <f t="shared" ref="C60" si="20">SUM(M60:O60)</f>
        <v>16646960.190000001</v>
      </c>
      <c r="D60" s="1046">
        <f t="shared" ref="D60" si="21">SUM(Q60:S60)</f>
        <v>16548052.960000001</v>
      </c>
      <c r="E60" s="1046"/>
      <c r="F60" s="1046"/>
      <c r="G60" s="1046">
        <f t="shared" ref="G60" si="22">ROUND(SUM(C60:F60)/2,0)</f>
        <v>16597507</v>
      </c>
      <c r="H60" s="1046"/>
      <c r="I60" s="1046">
        <f t="shared" ref="I60" si="23">(M60+Q60)/2</f>
        <v>6512520.1400000006</v>
      </c>
      <c r="J60" s="1046">
        <f t="shared" ref="J60" si="24">(N60+R60)/2</f>
        <v>117524.47</v>
      </c>
      <c r="K60" s="1046">
        <f t="shared" ref="K60" si="25">(O60+S60)/2</f>
        <v>9967461.9649999999</v>
      </c>
      <c r="L60" s="1046"/>
      <c r="M60" s="847">
        <v>7302295.5899999999</v>
      </c>
      <c r="N60" s="847">
        <v>107468.61</v>
      </c>
      <c r="O60" s="847">
        <v>9237195.9900000002</v>
      </c>
      <c r="P60" s="1046"/>
      <c r="Q60" s="847">
        <v>5722744.6900000004</v>
      </c>
      <c r="R60" s="847">
        <v>127580.33</v>
      </c>
      <c r="S60" s="847">
        <v>10697727.939999999</v>
      </c>
    </row>
    <row r="61" spans="1:19">
      <c r="A61" s="1076">
        <f t="shared" si="4"/>
        <v>5.3399999999999928</v>
      </c>
      <c r="B61" s="847" t="s">
        <v>1045</v>
      </c>
      <c r="C61" s="1046">
        <f>SUM(M61:O61)</f>
        <v>0</v>
      </c>
      <c r="D61" s="1046">
        <f>SUM(Q61:S61)</f>
        <v>0</v>
      </c>
      <c r="E61" s="1046"/>
      <c r="F61" s="1046"/>
      <c r="G61" s="1046">
        <f>ROUND(SUM(C61:F61)/2,0)</f>
        <v>0</v>
      </c>
      <c r="H61" s="1046"/>
      <c r="I61" s="1046">
        <f t="shared" si="3"/>
        <v>0</v>
      </c>
      <c r="J61" s="1046">
        <f t="shared" si="3"/>
        <v>0</v>
      </c>
      <c r="K61" s="1046">
        <f t="shared" si="3"/>
        <v>0</v>
      </c>
      <c r="L61" s="1046"/>
      <c r="M61" s="847">
        <v>0</v>
      </c>
      <c r="N61" s="847">
        <v>0</v>
      </c>
      <c r="O61" s="847">
        <v>0</v>
      </c>
      <c r="P61" s="1046"/>
      <c r="Q61" s="847">
        <v>0</v>
      </c>
      <c r="R61" s="847">
        <v>0</v>
      </c>
      <c r="S61" s="847">
        <v>0</v>
      </c>
    </row>
    <row r="62" spans="1:19">
      <c r="A62" s="1076">
        <f t="shared" si="4"/>
        <v>5.3499999999999925</v>
      </c>
      <c r="B62" s="847" t="s">
        <v>1046</v>
      </c>
      <c r="C62" s="1046">
        <f t="shared" si="0"/>
        <v>-8249479.5599999996</v>
      </c>
      <c r="D62" s="1046">
        <f t="shared" si="1"/>
        <v>-8249479.5599999996</v>
      </c>
      <c r="E62" s="1046"/>
      <c r="F62" s="1046"/>
      <c r="G62" s="1046">
        <f t="shared" si="19"/>
        <v>-8249480</v>
      </c>
      <c r="H62" s="1046"/>
      <c r="I62" s="1046">
        <f t="shared" si="3"/>
        <v>-8249479.5599999996</v>
      </c>
      <c r="J62" s="1046">
        <f t="shared" si="3"/>
        <v>0</v>
      </c>
      <c r="K62" s="1046">
        <f t="shared" si="3"/>
        <v>0</v>
      </c>
      <c r="L62" s="1046"/>
      <c r="M62" s="847">
        <v>-8249479.5599999996</v>
      </c>
      <c r="N62" s="847">
        <v>0</v>
      </c>
      <c r="O62" s="847">
        <v>0</v>
      </c>
      <c r="P62" s="1046"/>
      <c r="Q62" s="847">
        <v>-8249479.5599999996</v>
      </c>
      <c r="R62" s="847">
        <v>0</v>
      </c>
      <c r="S62" s="847">
        <v>0</v>
      </c>
    </row>
    <row r="63" spans="1:19">
      <c r="A63" s="1076">
        <f t="shared" si="4"/>
        <v>5.3599999999999923</v>
      </c>
      <c r="B63" s="847" t="s">
        <v>1047</v>
      </c>
      <c r="C63" s="1046">
        <f t="shared" si="0"/>
        <v>0</v>
      </c>
      <c r="D63" s="1046">
        <f t="shared" si="1"/>
        <v>0</v>
      </c>
      <c r="E63" s="1046"/>
      <c r="F63" s="1046"/>
      <c r="G63" s="1046">
        <f t="shared" si="19"/>
        <v>0</v>
      </c>
      <c r="H63" s="1046"/>
      <c r="I63" s="1046">
        <f t="shared" si="3"/>
        <v>0</v>
      </c>
      <c r="J63" s="1046">
        <f t="shared" si="3"/>
        <v>0</v>
      </c>
      <c r="K63" s="1046">
        <f t="shared" si="3"/>
        <v>0</v>
      </c>
      <c r="L63" s="1046"/>
      <c r="M63" s="847">
        <v>0</v>
      </c>
      <c r="N63" s="847">
        <v>0</v>
      </c>
      <c r="O63" s="847">
        <v>0</v>
      </c>
      <c r="P63" s="1046"/>
      <c r="Q63" s="847">
        <v>0</v>
      </c>
      <c r="R63" s="847">
        <v>0</v>
      </c>
      <c r="S63" s="847">
        <v>0</v>
      </c>
    </row>
    <row r="64" spans="1:19">
      <c r="A64" s="1076">
        <f t="shared" si="4"/>
        <v>5.3699999999999921</v>
      </c>
      <c r="B64" s="847" t="s">
        <v>1048</v>
      </c>
      <c r="C64" s="1046">
        <f>SUM(M64:O64)</f>
        <v>0</v>
      </c>
      <c r="D64" s="1046">
        <f>SUM(Q64:S64)</f>
        <v>0</v>
      </c>
      <c r="E64" s="1046"/>
      <c r="F64" s="1046"/>
      <c r="G64" s="1046">
        <f>ROUND(SUM(C64:F64)/2,0)</f>
        <v>0</v>
      </c>
      <c r="H64" s="1046"/>
      <c r="I64" s="1046">
        <f t="shared" si="3"/>
        <v>0</v>
      </c>
      <c r="J64" s="1046">
        <f t="shared" si="3"/>
        <v>0</v>
      </c>
      <c r="K64" s="1046">
        <f t="shared" si="3"/>
        <v>0</v>
      </c>
      <c r="L64" s="1046"/>
      <c r="M64" s="847">
        <v>0</v>
      </c>
      <c r="N64" s="847">
        <v>0</v>
      </c>
      <c r="O64" s="847">
        <v>0</v>
      </c>
      <c r="P64" s="1046"/>
      <c r="Q64" s="847">
        <v>0</v>
      </c>
      <c r="R64" s="847">
        <v>0</v>
      </c>
      <c r="S64" s="847">
        <v>0</v>
      </c>
    </row>
    <row r="65" spans="1:19">
      <c r="A65" s="1076">
        <f t="shared" si="4"/>
        <v>5.3799999999999919</v>
      </c>
      <c r="B65" s="847" t="s">
        <v>1049</v>
      </c>
      <c r="C65" s="1046">
        <f t="shared" si="0"/>
        <v>0</v>
      </c>
      <c r="D65" s="1046">
        <f t="shared" si="1"/>
        <v>0</v>
      </c>
      <c r="E65" s="1046"/>
      <c r="F65" s="1046"/>
      <c r="G65" s="1046">
        <f t="shared" si="19"/>
        <v>0</v>
      </c>
      <c r="H65" s="1046"/>
      <c r="I65" s="1046">
        <f t="shared" si="3"/>
        <v>0</v>
      </c>
      <c r="J65" s="1046">
        <f t="shared" si="3"/>
        <v>0</v>
      </c>
      <c r="K65" s="1046">
        <f t="shared" si="3"/>
        <v>0</v>
      </c>
      <c r="L65" s="1046"/>
      <c r="M65" s="847">
        <v>0</v>
      </c>
      <c r="N65" s="847">
        <v>0</v>
      </c>
      <c r="O65" s="847">
        <v>0</v>
      </c>
      <c r="P65" s="1046"/>
      <c r="Q65" s="847">
        <v>0</v>
      </c>
      <c r="R65" s="847">
        <v>0</v>
      </c>
      <c r="S65" s="847">
        <v>0</v>
      </c>
    </row>
    <row r="66" spans="1:19">
      <c r="A66" s="1076">
        <f t="shared" si="4"/>
        <v>5.3899999999999917</v>
      </c>
      <c r="B66" s="847" t="s">
        <v>1050</v>
      </c>
      <c r="C66" s="1046">
        <f t="shared" si="0"/>
        <v>864474.6</v>
      </c>
      <c r="D66" s="1046">
        <f t="shared" si="1"/>
        <v>800438.59999999986</v>
      </c>
      <c r="E66" s="1046"/>
      <c r="F66" s="1046"/>
      <c r="G66" s="1046">
        <f t="shared" si="19"/>
        <v>832457</v>
      </c>
      <c r="H66" s="1046"/>
      <c r="I66" s="1046">
        <f t="shared" si="3"/>
        <v>832456.59999999986</v>
      </c>
      <c r="J66" s="1046">
        <f t="shared" si="3"/>
        <v>0</v>
      </c>
      <c r="K66" s="1046">
        <f t="shared" si="3"/>
        <v>0</v>
      </c>
      <c r="L66" s="1046"/>
      <c r="M66" s="847">
        <v>864474.6</v>
      </c>
      <c r="N66" s="847">
        <v>0</v>
      </c>
      <c r="O66" s="847">
        <v>0</v>
      </c>
      <c r="P66" s="1046"/>
      <c r="Q66" s="847">
        <v>800438.59999999986</v>
      </c>
      <c r="R66" s="847">
        <v>0</v>
      </c>
      <c r="S66" s="847">
        <v>0</v>
      </c>
    </row>
    <row r="67" spans="1:19">
      <c r="A67" s="1076">
        <f t="shared" si="4"/>
        <v>5.3999999999999915</v>
      </c>
      <c r="B67" s="847" t="s">
        <v>1051</v>
      </c>
      <c r="C67" s="1050">
        <f t="shared" si="0"/>
        <v>-38590.49</v>
      </c>
      <c r="D67" s="1050">
        <f t="shared" si="1"/>
        <v>-38590.49</v>
      </c>
      <c r="E67" s="1050"/>
      <c r="F67" s="1050"/>
      <c r="G67" s="1050">
        <f t="shared" si="19"/>
        <v>-38590</v>
      </c>
      <c r="H67" s="1050"/>
      <c r="I67" s="1050">
        <f t="shared" si="3"/>
        <v>-38590.49</v>
      </c>
      <c r="J67" s="1050">
        <f t="shared" si="3"/>
        <v>0</v>
      </c>
      <c r="K67" s="1050">
        <f t="shared" si="3"/>
        <v>0</v>
      </c>
      <c r="L67" s="1050"/>
      <c r="M67" s="847">
        <v>-38590.49</v>
      </c>
      <c r="N67" s="847">
        <v>0</v>
      </c>
      <c r="O67" s="847">
        <v>0</v>
      </c>
      <c r="P67" s="1050"/>
      <c r="Q67" s="847">
        <v>-38590.49</v>
      </c>
      <c r="R67" s="847">
        <v>0</v>
      </c>
      <c r="S67" s="847">
        <v>0</v>
      </c>
    </row>
    <row r="68" spans="1:19">
      <c r="A68" s="1076">
        <f t="shared" si="4"/>
        <v>5.4099999999999913</v>
      </c>
      <c r="B68" s="847" t="s">
        <v>1052</v>
      </c>
      <c r="C68" s="1050">
        <f>SUM(M68:O68)</f>
        <v>-479025.49</v>
      </c>
      <c r="D68" s="1050">
        <f>SUM(Q68:S68)</f>
        <v>-479025.49</v>
      </c>
      <c r="E68" s="1050"/>
      <c r="F68" s="1050"/>
      <c r="G68" s="1050">
        <f t="shared" ref="G68:G74" si="26">ROUND(SUM(C68:F68)/2,0)</f>
        <v>-479025</v>
      </c>
      <c r="H68" s="1050"/>
      <c r="I68" s="1050">
        <f t="shared" si="3"/>
        <v>-479025.49</v>
      </c>
      <c r="J68" s="1050">
        <f t="shared" si="3"/>
        <v>0</v>
      </c>
      <c r="K68" s="1050">
        <f t="shared" si="3"/>
        <v>0</v>
      </c>
      <c r="L68" s="1050"/>
      <c r="M68" s="847">
        <v>-479025.49</v>
      </c>
      <c r="N68" s="847">
        <v>0</v>
      </c>
      <c r="O68" s="847">
        <v>0</v>
      </c>
      <c r="P68" s="1050"/>
      <c r="Q68" s="847">
        <v>-479025.49</v>
      </c>
      <c r="R68" s="847">
        <v>0</v>
      </c>
      <c r="S68" s="847">
        <v>0</v>
      </c>
    </row>
    <row r="69" spans="1:19">
      <c r="A69" s="1076">
        <f t="shared" si="4"/>
        <v>5.419999999999991</v>
      </c>
      <c r="B69" s="847" t="s">
        <v>1053</v>
      </c>
      <c r="C69" s="1046">
        <f t="shared" ref="C69:C78" si="27">SUM(M69:O69)</f>
        <v>-189791.22</v>
      </c>
      <c r="D69" s="1046">
        <f t="shared" ref="D69:D78" si="28">SUM(Q69:S69)</f>
        <v>-189791.22</v>
      </c>
      <c r="E69" s="1046"/>
      <c r="F69" s="1046"/>
      <c r="G69" s="1046">
        <f t="shared" si="26"/>
        <v>-189791</v>
      </c>
      <c r="H69" s="1046"/>
      <c r="I69" s="1046">
        <f t="shared" ref="I69:K78" si="29">(M69+Q69)/2</f>
        <v>-189791.22</v>
      </c>
      <c r="J69" s="1046">
        <f t="shared" ref="J69:J78" si="30">(N69+R69)/2</f>
        <v>0</v>
      </c>
      <c r="K69" s="1046">
        <f t="shared" ref="K69:K78" si="31">(O69+S69)/2</f>
        <v>0</v>
      </c>
      <c r="L69" s="1046"/>
      <c r="M69" s="847">
        <v>-189791.22</v>
      </c>
      <c r="N69" s="847">
        <v>0</v>
      </c>
      <c r="O69" s="847">
        <v>0</v>
      </c>
      <c r="P69" s="1046"/>
      <c r="Q69" s="847">
        <v>-189791.22</v>
      </c>
      <c r="R69" s="847">
        <v>0</v>
      </c>
      <c r="S69" s="847">
        <v>0</v>
      </c>
    </row>
    <row r="70" spans="1:19">
      <c r="A70" s="1076">
        <f t="shared" si="4"/>
        <v>5.4299999999999908</v>
      </c>
      <c r="B70" s="847" t="s">
        <v>1054</v>
      </c>
      <c r="C70" s="1046">
        <f t="shared" si="27"/>
        <v>187693.2</v>
      </c>
      <c r="D70" s="1046">
        <f t="shared" si="28"/>
        <v>187693.2</v>
      </c>
      <c r="E70" s="1046"/>
      <c r="F70" s="1046"/>
      <c r="G70" s="1046">
        <f t="shared" si="26"/>
        <v>187693</v>
      </c>
      <c r="H70" s="1046"/>
      <c r="I70" s="1046">
        <f t="shared" si="29"/>
        <v>187693.2</v>
      </c>
      <c r="J70" s="1046">
        <f t="shared" si="30"/>
        <v>0</v>
      </c>
      <c r="K70" s="1046">
        <f t="shared" si="31"/>
        <v>0</v>
      </c>
      <c r="L70" s="1046"/>
      <c r="M70" s="847">
        <v>187693.2</v>
      </c>
      <c r="N70" s="847">
        <v>0</v>
      </c>
      <c r="O70" s="847">
        <v>0</v>
      </c>
      <c r="P70" s="1046"/>
      <c r="Q70" s="847">
        <v>187693.2</v>
      </c>
      <c r="R70" s="847">
        <v>0</v>
      </c>
      <c r="S70" s="847">
        <v>0</v>
      </c>
    </row>
    <row r="71" spans="1:19">
      <c r="A71" s="1076">
        <f t="shared" si="4"/>
        <v>5.4399999999999906</v>
      </c>
      <c r="B71" s="847" t="s">
        <v>1055</v>
      </c>
      <c r="C71" s="1046">
        <f t="shared" si="27"/>
        <v>0</v>
      </c>
      <c r="D71" s="1046">
        <f t="shared" si="28"/>
        <v>0</v>
      </c>
      <c r="E71" s="1046"/>
      <c r="F71" s="1046"/>
      <c r="G71" s="1046">
        <f t="shared" si="26"/>
        <v>0</v>
      </c>
      <c r="H71" s="1046"/>
      <c r="I71" s="1046">
        <f t="shared" si="29"/>
        <v>0</v>
      </c>
      <c r="J71" s="1046">
        <f t="shared" si="30"/>
        <v>0</v>
      </c>
      <c r="K71" s="1046">
        <f t="shared" si="31"/>
        <v>0</v>
      </c>
      <c r="L71" s="1046"/>
      <c r="M71" s="847">
        <v>0</v>
      </c>
      <c r="N71" s="847">
        <v>0</v>
      </c>
      <c r="O71" s="847">
        <v>0</v>
      </c>
      <c r="P71" s="1046"/>
      <c r="Q71" s="847">
        <v>0</v>
      </c>
      <c r="R71" s="847">
        <v>0</v>
      </c>
      <c r="S71" s="847">
        <v>0</v>
      </c>
    </row>
    <row r="72" spans="1:19">
      <c r="A72" s="1076">
        <f t="shared" si="4"/>
        <v>5.4499999999999904</v>
      </c>
      <c r="B72" s="847" t="s">
        <v>1056</v>
      </c>
      <c r="C72" s="1046">
        <f t="shared" si="27"/>
        <v>0</v>
      </c>
      <c r="D72" s="1046">
        <f t="shared" si="28"/>
        <v>0</v>
      </c>
      <c r="E72" s="1046"/>
      <c r="F72" s="1046"/>
      <c r="G72" s="1046">
        <f t="shared" si="26"/>
        <v>0</v>
      </c>
      <c r="H72" s="1046"/>
      <c r="I72" s="1046">
        <f t="shared" si="29"/>
        <v>0</v>
      </c>
      <c r="J72" s="1046">
        <f t="shared" si="30"/>
        <v>0</v>
      </c>
      <c r="K72" s="1046">
        <f t="shared" si="31"/>
        <v>0</v>
      </c>
      <c r="L72" s="1046"/>
      <c r="M72" s="847">
        <v>0</v>
      </c>
      <c r="N72" s="847">
        <v>0</v>
      </c>
      <c r="O72" s="847">
        <v>0</v>
      </c>
      <c r="P72" s="1046"/>
      <c r="Q72" s="847">
        <v>0</v>
      </c>
      <c r="R72" s="847">
        <v>0</v>
      </c>
      <c r="S72" s="847">
        <v>0</v>
      </c>
    </row>
    <row r="73" spans="1:19">
      <c r="A73" s="1076">
        <f t="shared" si="4"/>
        <v>5.4599999999999902</v>
      </c>
      <c r="B73" s="847" t="s">
        <v>1419</v>
      </c>
      <c r="C73" s="1046">
        <f t="shared" si="27"/>
        <v>-44342127</v>
      </c>
      <c r="D73" s="1046">
        <f t="shared" si="28"/>
        <v>-44342127</v>
      </c>
      <c r="E73" s="1046"/>
      <c r="F73" s="1046"/>
      <c r="G73" s="1046">
        <f t="shared" si="26"/>
        <v>-44342127</v>
      </c>
      <c r="H73" s="1046"/>
      <c r="I73" s="1046">
        <f t="shared" si="29"/>
        <v>-9705910</v>
      </c>
      <c r="J73" s="1046">
        <f t="shared" si="29"/>
        <v>-32453503</v>
      </c>
      <c r="K73" s="1046">
        <f t="shared" si="29"/>
        <v>-2182714</v>
      </c>
      <c r="L73" s="1046"/>
      <c r="M73" s="847">
        <v>-9705910</v>
      </c>
      <c r="N73" s="847">
        <v>-32453503</v>
      </c>
      <c r="O73" s="847">
        <v>-2182714</v>
      </c>
      <c r="P73" s="1046"/>
      <c r="Q73" s="847">
        <v>-9705910</v>
      </c>
      <c r="R73" s="847">
        <v>-32453503</v>
      </c>
      <c r="S73" s="847">
        <v>-2182714</v>
      </c>
    </row>
    <row r="74" spans="1:19">
      <c r="A74" s="1076">
        <f t="shared" si="4"/>
        <v>5.46999999999999</v>
      </c>
      <c r="B74" s="847" t="s">
        <v>1057</v>
      </c>
      <c r="C74" s="1046">
        <f t="shared" si="27"/>
        <v>773178518.16000009</v>
      </c>
      <c r="D74" s="1046">
        <f t="shared" si="28"/>
        <v>719350507.53999996</v>
      </c>
      <c r="E74" s="1046"/>
      <c r="F74" s="1046"/>
      <c r="G74" s="1046">
        <f t="shared" si="26"/>
        <v>746264513</v>
      </c>
      <c r="H74" s="1046"/>
      <c r="I74" s="1046">
        <f t="shared" si="29"/>
        <v>263114742.995</v>
      </c>
      <c r="J74" s="1046">
        <f t="shared" si="29"/>
        <v>233405201.535</v>
      </c>
      <c r="K74" s="1046">
        <f t="shared" si="29"/>
        <v>249744568.31999999</v>
      </c>
      <c r="L74" s="1046"/>
      <c r="M74" s="847">
        <v>269386569.5</v>
      </c>
      <c r="N74" s="847">
        <v>239225014.34</v>
      </c>
      <c r="O74" s="847">
        <v>264566934.31999999</v>
      </c>
      <c r="P74" s="1046"/>
      <c r="Q74" s="847">
        <v>256842916.49000001</v>
      </c>
      <c r="R74" s="847">
        <v>227585388.72999999</v>
      </c>
      <c r="S74" s="847">
        <v>234922202.31999999</v>
      </c>
    </row>
    <row r="75" spans="1:19">
      <c r="A75" s="1076">
        <f t="shared" si="4"/>
        <v>5.4799999999999898</v>
      </c>
      <c r="B75" s="847" t="s">
        <v>1012</v>
      </c>
      <c r="C75" s="1046">
        <f t="shared" si="27"/>
        <v>0</v>
      </c>
      <c r="D75" s="1046">
        <f t="shared" si="28"/>
        <v>0</v>
      </c>
      <c r="E75" s="1046">
        <v>-0.49</v>
      </c>
      <c r="F75" s="1046">
        <v>-0.49</v>
      </c>
      <c r="G75" s="1046">
        <f>-E75</f>
        <v>0.49</v>
      </c>
      <c r="H75" s="1046"/>
      <c r="I75" s="1046">
        <f t="shared" si="29"/>
        <v>0</v>
      </c>
      <c r="J75" s="1046">
        <f t="shared" si="30"/>
        <v>0</v>
      </c>
      <c r="K75" s="1046">
        <f t="shared" si="31"/>
        <v>0</v>
      </c>
      <c r="L75" s="1046"/>
      <c r="M75" s="847"/>
      <c r="N75" s="847"/>
      <c r="O75" s="847"/>
      <c r="P75" s="1046"/>
      <c r="Q75" s="847"/>
      <c r="R75" s="847"/>
      <c r="S75" s="847"/>
    </row>
    <row r="76" spans="1:19">
      <c r="A76" s="1076">
        <f t="shared" si="4"/>
        <v>5.4899999999999896</v>
      </c>
      <c r="B76" s="847" t="s">
        <v>1058</v>
      </c>
      <c r="C76" s="1046">
        <f>-E76</f>
        <v>82319682.219999999</v>
      </c>
      <c r="D76" s="1046">
        <f>-F76</f>
        <v>79918488.379999995</v>
      </c>
      <c r="E76" s="1046">
        <v>-82319682.219999999</v>
      </c>
      <c r="F76" s="1046">
        <v>-79918488.379999995</v>
      </c>
      <c r="G76" s="1046">
        <v>0</v>
      </c>
      <c r="H76" s="1046"/>
      <c r="I76" s="1046">
        <f t="shared" si="29"/>
        <v>0</v>
      </c>
      <c r="J76" s="1046">
        <f t="shared" si="30"/>
        <v>0</v>
      </c>
      <c r="K76" s="1046">
        <f t="shared" si="31"/>
        <v>0</v>
      </c>
      <c r="L76" s="1046"/>
      <c r="M76" s="847"/>
      <c r="N76" s="847"/>
      <c r="O76" s="847"/>
      <c r="P76" s="1046"/>
      <c r="Q76" s="847"/>
      <c r="R76" s="847"/>
      <c r="S76" s="847"/>
    </row>
    <row r="77" spans="1:19">
      <c r="A77" s="1076">
        <f t="shared" si="4"/>
        <v>5.4999999999999893</v>
      </c>
      <c r="B77" s="847" t="s">
        <v>1059</v>
      </c>
      <c r="C77" s="1046">
        <f>-E77</f>
        <v>-773178518.20000005</v>
      </c>
      <c r="D77" s="1046">
        <f>-F77</f>
        <v>-719350507.53999996</v>
      </c>
      <c r="E77" s="1046">
        <v>773178518.20000005</v>
      </c>
      <c r="F77" s="1046">
        <v>719350507.53999996</v>
      </c>
      <c r="G77" s="1046">
        <v>0</v>
      </c>
      <c r="H77" s="1046"/>
      <c r="I77" s="1046">
        <f t="shared" si="29"/>
        <v>0</v>
      </c>
      <c r="J77" s="1046">
        <f t="shared" si="30"/>
        <v>0</v>
      </c>
      <c r="K77" s="1046">
        <f t="shared" si="31"/>
        <v>0</v>
      </c>
      <c r="L77" s="1046"/>
      <c r="M77" s="847"/>
      <c r="N77" s="847"/>
      <c r="O77" s="847"/>
      <c r="P77" s="1046"/>
      <c r="Q77" s="847"/>
      <c r="R77" s="847"/>
      <c r="S77" s="847"/>
    </row>
    <row r="78" spans="1:19">
      <c r="A78" s="1076">
        <f t="shared" si="4"/>
        <v>5.5099999999999891</v>
      </c>
      <c r="B78" s="847"/>
      <c r="C78" s="1046">
        <f t="shared" si="27"/>
        <v>0</v>
      </c>
      <c r="D78" s="1046">
        <f t="shared" si="28"/>
        <v>0</v>
      </c>
      <c r="E78" s="1046">
        <f>-C78</f>
        <v>0</v>
      </c>
      <c r="F78" s="1046">
        <f>-D78</f>
        <v>0</v>
      </c>
      <c r="G78" s="1046">
        <f>ROUND(SUM(C78:F78)/2,0)</f>
        <v>0</v>
      </c>
      <c r="H78" s="1046"/>
      <c r="I78" s="1046">
        <f t="shared" si="29"/>
        <v>0</v>
      </c>
      <c r="J78" s="1046">
        <f t="shared" si="30"/>
        <v>0</v>
      </c>
      <c r="K78" s="1046">
        <f t="shared" si="31"/>
        <v>0</v>
      </c>
      <c r="L78" s="1046"/>
      <c r="M78" s="847"/>
      <c r="N78" s="847"/>
      <c r="O78" s="847"/>
      <c r="P78" s="1046"/>
      <c r="Q78" s="847"/>
      <c r="R78" s="847"/>
      <c r="S78" s="847"/>
    </row>
    <row r="79" spans="1:19">
      <c r="A79"/>
    </row>
    <row r="80" spans="1:19">
      <c r="A80" s="1056"/>
      <c r="B80" s="1036"/>
      <c r="C80" s="1046"/>
      <c r="D80" s="1046"/>
      <c r="E80" s="1046"/>
      <c r="F80" s="1046"/>
      <c r="G80" s="1046"/>
      <c r="H80" s="1046"/>
      <c r="I80" s="1046"/>
      <c r="J80" s="1046"/>
      <c r="K80" s="1046"/>
      <c r="L80" s="1046"/>
      <c r="M80" s="1046"/>
      <c r="N80" s="1046"/>
      <c r="O80" s="1046"/>
      <c r="P80" s="1046"/>
      <c r="Q80" s="1046"/>
      <c r="R80" s="1046"/>
      <c r="S80" s="1046"/>
    </row>
    <row r="81" spans="1:19" ht="13.5" thickBot="1">
      <c r="A81" s="1056">
        <v>6</v>
      </c>
      <c r="B81" s="1037" t="s">
        <v>729</v>
      </c>
      <c r="C81" s="1048">
        <f>SUM(C28:C80)</f>
        <v>1356619149.5</v>
      </c>
      <c r="D81" s="1048">
        <f>SUM(D28:D80)</f>
        <v>1406964307.5500002</v>
      </c>
      <c r="E81" s="1048">
        <f>SUM(E28:E80)</f>
        <v>690858835.49000001</v>
      </c>
      <c r="F81" s="1048">
        <f>SUM(F28:F80)</f>
        <v>639432018.66999996</v>
      </c>
      <c r="G81" s="1048">
        <f>SUM(G28:G80)</f>
        <v>2046937157.49</v>
      </c>
      <c r="H81" s="1046"/>
      <c r="I81" s="1048">
        <f>SUM(I28:I80)</f>
        <v>722476537.68999994</v>
      </c>
      <c r="J81" s="1048">
        <f>SUM(J28:J80)</f>
        <v>600545112.95500016</v>
      </c>
      <c r="K81" s="1048">
        <f>SUM(K28:K80)</f>
        <v>723915505.44999981</v>
      </c>
      <c r="L81" s="1046"/>
      <c r="M81" s="1048">
        <f>SUM(M28:M80)</f>
        <v>731881451.02999985</v>
      </c>
      <c r="N81" s="1048">
        <f>SUM(N28:N80)</f>
        <v>588965460</v>
      </c>
      <c r="O81" s="1048">
        <f>SUM(O28:O80)</f>
        <v>726631074.45000005</v>
      </c>
      <c r="P81" s="1046"/>
      <c r="Q81" s="1048">
        <f>SUM(Q28:Q80)</f>
        <v>713071624.34999979</v>
      </c>
      <c r="R81" s="1048">
        <f>SUM(R28:R80)</f>
        <v>612124765.90999997</v>
      </c>
      <c r="S81" s="1048">
        <f>SUM(S28:S80)</f>
        <v>721199936.45000005</v>
      </c>
    </row>
    <row r="82" spans="1:19" ht="13.5" thickTop="1">
      <c r="A82" s="1056">
        <f>A81+1</f>
        <v>7</v>
      </c>
      <c r="B82" s="1116" t="s">
        <v>742</v>
      </c>
      <c r="C82" s="1049">
        <f>SUM(C34,C35,C67,C68)</f>
        <v>11954456.089999998</v>
      </c>
      <c r="D82" s="1049">
        <f>SUM(D34,D35,D67,D68)</f>
        <v>11324105.489999998</v>
      </c>
      <c r="E82" s="1049">
        <f>SUM(E34,E35,E64,E65)</f>
        <v>0</v>
      </c>
      <c r="F82" s="1049">
        <f>SUM(F34,F35,F64,F65)</f>
        <v>0</v>
      </c>
      <c r="G82" s="1049">
        <f>SUM(G34,G35,G67,G68)</f>
        <v>11639282</v>
      </c>
      <c r="H82" s="1046"/>
      <c r="I82" s="1049">
        <f>SUM(I34,I35,I67,I68)</f>
        <v>11606356.839999998</v>
      </c>
      <c r="J82" s="1049">
        <f>SUM(J34,J35,J67,J68)</f>
        <v>-435.15</v>
      </c>
      <c r="K82" s="1049">
        <f>SUM(K34,K35,K67,K68)</f>
        <v>33359.1</v>
      </c>
      <c r="L82" s="1049"/>
      <c r="M82" s="1049">
        <f>SUM(M34,M35,M67,M68)</f>
        <v>11917670.889999999</v>
      </c>
      <c r="N82" s="1049">
        <f>SUM(N34,N35,N67,N68)</f>
        <v>-416.63</v>
      </c>
      <c r="O82" s="1049">
        <f>SUM(O34,O35,O67,O68)</f>
        <v>37201.83</v>
      </c>
      <c r="P82" s="1046"/>
      <c r="Q82" s="1049">
        <f>SUM(Q34,Q35,Q67,Q68)</f>
        <v>11295042.789999999</v>
      </c>
      <c r="R82" s="1049">
        <f>SUM(R34,R35,R67,R68)</f>
        <v>-453.67</v>
      </c>
      <c r="S82" s="1049">
        <f>SUM(S34,S35,S67,S68)</f>
        <v>29516.37</v>
      </c>
    </row>
    <row r="83" spans="1:19">
      <c r="A83" s="1056"/>
      <c r="B83" s="1037"/>
      <c r="C83" s="1046"/>
      <c r="D83" s="1051"/>
      <c r="E83" s="1046"/>
      <c r="F83" s="1046"/>
      <c r="G83" s="1046"/>
      <c r="H83" s="1046"/>
      <c r="I83" s="1046"/>
      <c r="J83" s="1046"/>
      <c r="K83" s="1046"/>
      <c r="L83" s="1046"/>
      <c r="M83" s="1046"/>
      <c r="N83" s="1046"/>
      <c r="O83" s="1046"/>
      <c r="P83" s="1046"/>
      <c r="Q83" s="1046"/>
      <c r="R83" s="1046"/>
      <c r="S83" s="1046"/>
    </row>
    <row r="84" spans="1:19">
      <c r="A84" s="1056">
        <v>8</v>
      </c>
      <c r="B84" s="242" t="s">
        <v>730</v>
      </c>
      <c r="C84" s="1046" t="s">
        <v>114</v>
      </c>
      <c r="D84" s="1046"/>
      <c r="E84" s="1046"/>
      <c r="F84" s="1046"/>
      <c r="G84" s="1046"/>
      <c r="H84" s="1046"/>
      <c r="I84" s="1046"/>
      <c r="J84" s="1046"/>
      <c r="K84" s="1046"/>
      <c r="L84" s="1046"/>
      <c r="M84" s="1046"/>
      <c r="N84" s="1046"/>
      <c r="O84" s="1046"/>
      <c r="P84" s="1046"/>
      <c r="Q84" s="1046"/>
      <c r="R84" s="1046"/>
      <c r="S84" s="1046"/>
    </row>
    <row r="85" spans="1:19">
      <c r="A85" s="1056"/>
      <c r="B85" s="1036"/>
      <c r="C85" s="1046"/>
      <c r="D85" s="1046"/>
      <c r="E85" s="1046"/>
      <c r="F85" s="1046"/>
      <c r="G85" s="1046"/>
      <c r="H85" s="1046"/>
      <c r="I85" s="1046"/>
      <c r="J85" s="1046"/>
      <c r="K85" s="1046"/>
      <c r="L85" s="1046"/>
      <c r="M85" s="1046"/>
      <c r="N85" s="1046"/>
      <c r="O85" s="1046"/>
      <c r="P85" s="1046"/>
      <c r="Q85" s="1046"/>
      <c r="R85" s="1046"/>
      <c r="S85" s="1046"/>
    </row>
    <row r="86" spans="1:19">
      <c r="A86" s="1076">
        <v>9.01</v>
      </c>
      <c r="B86" s="847" t="s">
        <v>1060</v>
      </c>
      <c r="C86" s="1046">
        <f>SUM(M86:O86)</f>
        <v>0</v>
      </c>
      <c r="D86" s="1046">
        <f t="shared" ref="D86:D151" si="32">SUM(Q86:S86)</f>
        <v>0</v>
      </c>
      <c r="E86" s="1046"/>
      <c r="F86" s="1046"/>
      <c r="G86" s="1046">
        <f t="shared" ref="G86:G142" si="33">ROUND(SUM(C86:F86)/2,0)</f>
        <v>0</v>
      </c>
      <c r="H86" s="1046"/>
      <c r="I86" s="1046">
        <f>(M86+Q86)/2</f>
        <v>0</v>
      </c>
      <c r="J86" s="1046">
        <f>(N86+R86)/2</f>
        <v>0</v>
      </c>
      <c r="K86" s="1046">
        <f>(O86+S86)/2</f>
        <v>0</v>
      </c>
      <c r="L86" s="1046"/>
      <c r="M86" s="847">
        <v>0</v>
      </c>
      <c r="N86" s="847">
        <v>0</v>
      </c>
      <c r="O86" s="847">
        <v>0</v>
      </c>
      <c r="P86" s="1046"/>
      <c r="Q86" s="847">
        <v>0</v>
      </c>
      <c r="R86" s="847">
        <v>0</v>
      </c>
      <c r="S86" s="847">
        <v>0</v>
      </c>
    </row>
    <row r="87" spans="1:19">
      <c r="A87" s="1076">
        <f>A86+0.01</f>
        <v>9.02</v>
      </c>
      <c r="B87" s="847" t="s">
        <v>1061</v>
      </c>
      <c r="C87" s="1046">
        <f t="shared" ref="C87:C157" si="34">SUM(M87:O87)</f>
        <v>2092633.02</v>
      </c>
      <c r="D87" s="1046">
        <f t="shared" si="32"/>
        <v>895275.17</v>
      </c>
      <c r="E87" s="1046"/>
      <c r="F87" s="1046"/>
      <c r="G87" s="1046">
        <f>ROUND(SUM(C87:F87)/2,0)</f>
        <v>1493954</v>
      </c>
      <c r="H87" s="1046"/>
      <c r="I87" s="1046">
        <f t="shared" ref="I87:K148" si="35">(M87+Q87)/2</f>
        <v>1493954.095</v>
      </c>
      <c r="J87" s="1046">
        <f t="shared" si="35"/>
        <v>0</v>
      </c>
      <c r="K87" s="1046">
        <f t="shared" si="35"/>
        <v>0</v>
      </c>
      <c r="L87" s="1046"/>
      <c r="M87" s="847">
        <v>2092633.02</v>
      </c>
      <c r="N87" s="847">
        <v>0</v>
      </c>
      <c r="O87" s="847">
        <v>0</v>
      </c>
      <c r="P87" s="1046"/>
      <c r="Q87" s="847">
        <v>895275.17</v>
      </c>
      <c r="R87" s="847">
        <v>0</v>
      </c>
      <c r="S87" s="847">
        <v>0</v>
      </c>
    </row>
    <row r="88" spans="1:19">
      <c r="A88" s="1076">
        <f t="shared" ref="A88:A158" si="36">A87+0.01</f>
        <v>9.0299999999999994</v>
      </c>
      <c r="B88" s="847" t="s">
        <v>1062</v>
      </c>
      <c r="C88" s="1046">
        <f t="shared" si="34"/>
        <v>7725091.6399999997</v>
      </c>
      <c r="D88" s="1046">
        <f t="shared" si="32"/>
        <v>699494.22</v>
      </c>
      <c r="E88" s="1046"/>
      <c r="F88" s="1046"/>
      <c r="G88" s="1046">
        <f t="shared" si="33"/>
        <v>4212293</v>
      </c>
      <c r="H88" s="1046"/>
      <c r="I88" s="1046">
        <f t="shared" si="35"/>
        <v>4212292.93</v>
      </c>
      <c r="J88" s="1046">
        <f t="shared" si="35"/>
        <v>0</v>
      </c>
      <c r="K88" s="1046">
        <f t="shared" si="35"/>
        <v>0</v>
      </c>
      <c r="L88" s="1046"/>
      <c r="M88" s="847">
        <v>7725091.6399999997</v>
      </c>
      <c r="N88" s="847">
        <v>0</v>
      </c>
      <c r="O88" s="847">
        <v>0</v>
      </c>
      <c r="P88" s="1046"/>
      <c r="Q88" s="847">
        <v>699494.22</v>
      </c>
      <c r="R88" s="847">
        <v>0</v>
      </c>
      <c r="S88" s="847">
        <v>0</v>
      </c>
    </row>
    <row r="89" spans="1:19">
      <c r="A89" s="1076">
        <f t="shared" si="36"/>
        <v>9.0399999999999991</v>
      </c>
      <c r="B89" s="847" t="s">
        <v>1063</v>
      </c>
      <c r="C89" s="1046">
        <f t="shared" si="34"/>
        <v>0</v>
      </c>
      <c r="D89" s="1046">
        <f t="shared" si="32"/>
        <v>0</v>
      </c>
      <c r="E89" s="1046"/>
      <c r="F89" s="1046"/>
      <c r="G89" s="1046">
        <f t="shared" si="33"/>
        <v>0</v>
      </c>
      <c r="H89" s="1046"/>
      <c r="I89" s="1046">
        <f t="shared" si="35"/>
        <v>0</v>
      </c>
      <c r="J89" s="1046">
        <f t="shared" si="35"/>
        <v>0</v>
      </c>
      <c r="K89" s="1046">
        <f t="shared" si="35"/>
        <v>0</v>
      </c>
      <c r="L89" s="1046"/>
      <c r="M89" s="847">
        <v>0</v>
      </c>
      <c r="N89" s="847">
        <v>0</v>
      </c>
      <c r="O89" s="847">
        <v>0</v>
      </c>
      <c r="P89" s="1046"/>
      <c r="Q89" s="847">
        <v>0</v>
      </c>
      <c r="R89" s="847">
        <v>0</v>
      </c>
      <c r="S89" s="847">
        <v>0</v>
      </c>
    </row>
    <row r="90" spans="1:19">
      <c r="A90" s="1076">
        <f t="shared" si="36"/>
        <v>9.0499999999999989</v>
      </c>
      <c r="B90" s="847" t="s">
        <v>1064</v>
      </c>
      <c r="C90" s="1046">
        <f t="shared" si="34"/>
        <v>0</v>
      </c>
      <c r="D90" s="1046">
        <f t="shared" si="32"/>
        <v>0</v>
      </c>
      <c r="E90" s="1046"/>
      <c r="F90" s="1046"/>
      <c r="G90" s="1046">
        <f t="shared" si="33"/>
        <v>0</v>
      </c>
      <c r="H90" s="1046"/>
      <c r="I90" s="1046">
        <f t="shared" si="35"/>
        <v>0</v>
      </c>
      <c r="J90" s="1046">
        <f t="shared" si="35"/>
        <v>0</v>
      </c>
      <c r="K90" s="1046">
        <f t="shared" si="35"/>
        <v>0</v>
      </c>
      <c r="L90" s="1046"/>
      <c r="M90" s="847">
        <v>0</v>
      </c>
      <c r="N90" s="847">
        <v>0</v>
      </c>
      <c r="O90" s="847">
        <v>0</v>
      </c>
      <c r="P90" s="1046"/>
      <c r="Q90" s="847">
        <v>0</v>
      </c>
      <c r="R90" s="847">
        <v>0</v>
      </c>
      <c r="S90" s="847">
        <v>0</v>
      </c>
    </row>
    <row r="91" spans="1:19">
      <c r="A91" s="1076">
        <f t="shared" si="36"/>
        <v>9.0599999999999987</v>
      </c>
      <c r="B91" s="847" t="s">
        <v>1065</v>
      </c>
      <c r="C91" s="1046">
        <f t="shared" si="34"/>
        <v>0</v>
      </c>
      <c r="D91" s="1046">
        <f t="shared" si="32"/>
        <v>0</v>
      </c>
      <c r="E91" s="1046"/>
      <c r="F91" s="1046"/>
      <c r="G91" s="1046">
        <f t="shared" si="33"/>
        <v>0</v>
      </c>
      <c r="H91" s="1046"/>
      <c r="I91" s="1046">
        <f t="shared" si="35"/>
        <v>0</v>
      </c>
      <c r="J91" s="1046">
        <f t="shared" si="35"/>
        <v>0</v>
      </c>
      <c r="K91" s="1046">
        <f t="shared" si="35"/>
        <v>0</v>
      </c>
      <c r="L91" s="1046"/>
      <c r="M91" s="847">
        <v>0</v>
      </c>
      <c r="N91" s="847">
        <v>0</v>
      </c>
      <c r="O91" s="847">
        <v>0</v>
      </c>
      <c r="P91" s="1046"/>
      <c r="Q91" s="847">
        <v>0</v>
      </c>
      <c r="R91" s="847">
        <v>0</v>
      </c>
      <c r="S91" s="847">
        <v>0</v>
      </c>
    </row>
    <row r="92" spans="1:19">
      <c r="A92" s="1076">
        <f t="shared" si="36"/>
        <v>9.0699999999999985</v>
      </c>
      <c r="B92" s="847" t="s">
        <v>1066</v>
      </c>
      <c r="C92" s="1046">
        <f t="shared" si="34"/>
        <v>0</v>
      </c>
      <c r="D92" s="1046">
        <f t="shared" si="32"/>
        <v>0</v>
      </c>
      <c r="E92" s="1046"/>
      <c r="F92" s="1046"/>
      <c r="G92" s="1046">
        <f>ROUND(SUM(C92:F92)/2,0)</f>
        <v>0</v>
      </c>
      <c r="H92" s="1046"/>
      <c r="I92" s="1046">
        <f t="shared" si="35"/>
        <v>0</v>
      </c>
      <c r="J92" s="1046">
        <f t="shared" si="35"/>
        <v>0</v>
      </c>
      <c r="K92" s="1046">
        <f t="shared" si="35"/>
        <v>0</v>
      </c>
      <c r="L92" s="1046"/>
      <c r="M92" s="847">
        <v>0</v>
      </c>
      <c r="N92" s="847">
        <v>0</v>
      </c>
      <c r="O92" s="847">
        <v>0</v>
      </c>
      <c r="P92" s="1046"/>
      <c r="Q92" s="847">
        <v>0</v>
      </c>
      <c r="R92" s="847">
        <v>0</v>
      </c>
      <c r="S92" s="847">
        <v>0</v>
      </c>
    </row>
    <row r="93" spans="1:19">
      <c r="A93" s="1076">
        <f t="shared" si="36"/>
        <v>9.0799999999999983</v>
      </c>
      <c r="B93" s="847" t="s">
        <v>1067</v>
      </c>
      <c r="C93" s="1046">
        <f t="shared" si="34"/>
        <v>-0.01</v>
      </c>
      <c r="D93" s="1046">
        <f t="shared" si="32"/>
        <v>-0.01</v>
      </c>
      <c r="E93" s="1046"/>
      <c r="F93" s="1046"/>
      <c r="G93" s="1046">
        <f>ROUND(SUM(C93:F93)/2,0)</f>
        <v>0</v>
      </c>
      <c r="H93" s="1046"/>
      <c r="I93" s="1046">
        <f t="shared" si="35"/>
        <v>-0.01</v>
      </c>
      <c r="J93" s="1046">
        <f t="shared" si="35"/>
        <v>0</v>
      </c>
      <c r="K93" s="1046">
        <f t="shared" si="35"/>
        <v>0</v>
      </c>
      <c r="L93" s="1046"/>
      <c r="M93" s="847">
        <v>-0.01</v>
      </c>
      <c r="N93" s="847">
        <v>0</v>
      </c>
      <c r="O93" s="847">
        <v>0</v>
      </c>
      <c r="P93" s="1046"/>
      <c r="Q93" s="847">
        <v>-0.01</v>
      </c>
      <c r="R93" s="847">
        <v>0</v>
      </c>
      <c r="S93" s="847">
        <v>0</v>
      </c>
    </row>
    <row r="94" spans="1:19">
      <c r="A94" s="1076">
        <f t="shared" si="36"/>
        <v>9.0899999999999981</v>
      </c>
      <c r="B94" s="847" t="s">
        <v>1068</v>
      </c>
      <c r="C94" s="1046">
        <f t="shared" si="34"/>
        <v>155456.18</v>
      </c>
      <c r="D94" s="1046">
        <f t="shared" si="32"/>
        <v>55866.14</v>
      </c>
      <c r="E94" s="1046"/>
      <c r="F94" s="1046"/>
      <c r="G94" s="1046">
        <f t="shared" si="33"/>
        <v>105661</v>
      </c>
      <c r="H94" s="1046"/>
      <c r="I94" s="1046">
        <f t="shared" si="35"/>
        <v>105661.16</v>
      </c>
      <c r="J94" s="1046">
        <f t="shared" si="35"/>
        <v>0</v>
      </c>
      <c r="K94" s="1046">
        <f t="shared" si="35"/>
        <v>0</v>
      </c>
      <c r="L94" s="1046"/>
      <c r="M94" s="847">
        <v>155456.18</v>
      </c>
      <c r="N94" s="847">
        <v>0</v>
      </c>
      <c r="O94" s="847">
        <v>0</v>
      </c>
      <c r="P94" s="1046"/>
      <c r="Q94" s="847">
        <v>55866.14</v>
      </c>
      <c r="R94" s="847">
        <v>0</v>
      </c>
      <c r="S94" s="847">
        <v>0</v>
      </c>
    </row>
    <row r="95" spans="1:19">
      <c r="A95" s="1076">
        <f t="shared" si="36"/>
        <v>9.0999999999999979</v>
      </c>
      <c r="B95" s="847" t="s">
        <v>1069</v>
      </c>
      <c r="C95" s="1046">
        <f t="shared" si="34"/>
        <v>6134905.79</v>
      </c>
      <c r="D95" s="1046">
        <f t="shared" si="32"/>
        <v>6125641.4900000002</v>
      </c>
      <c r="E95" s="1046"/>
      <c r="F95" s="1046"/>
      <c r="G95" s="1046">
        <f>ROUND(SUM(C95:F95)/2,0)</f>
        <v>6130274</v>
      </c>
      <c r="H95" s="1046"/>
      <c r="I95" s="1046">
        <f t="shared" si="35"/>
        <v>1122792.3250000002</v>
      </c>
      <c r="J95" s="1046">
        <f t="shared" si="35"/>
        <v>2994566.4750000001</v>
      </c>
      <c r="K95" s="1046">
        <f t="shared" si="35"/>
        <v>2012914.8399999999</v>
      </c>
      <c r="L95" s="1046"/>
      <c r="M95" s="847">
        <v>1113816.83</v>
      </c>
      <c r="N95" s="847">
        <v>3789808.12</v>
      </c>
      <c r="O95" s="847">
        <v>1231280.8400000001</v>
      </c>
      <c r="P95" s="1046"/>
      <c r="Q95" s="847">
        <v>1131767.82</v>
      </c>
      <c r="R95" s="847">
        <v>2199324.83</v>
      </c>
      <c r="S95" s="847">
        <v>2794548.84</v>
      </c>
    </row>
    <row r="96" spans="1:19">
      <c r="A96" s="1076">
        <f t="shared" si="36"/>
        <v>9.1099999999999977</v>
      </c>
      <c r="B96" s="847" t="s">
        <v>1070</v>
      </c>
      <c r="C96" s="1046">
        <f t="shared" si="34"/>
        <v>0.03</v>
      </c>
      <c r="D96" s="1046">
        <f t="shared" si="32"/>
        <v>0.03</v>
      </c>
      <c r="E96" s="1046"/>
      <c r="F96" s="1046"/>
      <c r="G96" s="1046">
        <f>ROUND(SUM(C96:F96)/2,0)</f>
        <v>0</v>
      </c>
      <c r="H96" s="1046"/>
      <c r="I96" s="1046">
        <f t="shared" si="35"/>
        <v>0.03</v>
      </c>
      <c r="J96" s="1046">
        <f t="shared" si="35"/>
        <v>0</v>
      </c>
      <c r="K96" s="1046">
        <f t="shared" si="35"/>
        <v>0</v>
      </c>
      <c r="L96" s="1046"/>
      <c r="M96" s="847">
        <v>0.03</v>
      </c>
      <c r="N96" s="847">
        <v>0</v>
      </c>
      <c r="O96" s="847">
        <v>0</v>
      </c>
      <c r="P96" s="1046"/>
      <c r="Q96" s="847">
        <v>0.03</v>
      </c>
      <c r="R96" s="847">
        <v>0</v>
      </c>
      <c r="S96" s="847">
        <v>0</v>
      </c>
    </row>
    <row r="97" spans="1:19">
      <c r="A97" s="1076">
        <f t="shared" si="36"/>
        <v>9.1199999999999974</v>
      </c>
      <c r="B97" s="847" t="s">
        <v>1071</v>
      </c>
      <c r="C97" s="1046">
        <f t="shared" si="34"/>
        <v>49872048</v>
      </c>
      <c r="D97" s="1046">
        <f t="shared" si="32"/>
        <v>44661474.770000003</v>
      </c>
      <c r="E97" s="1046"/>
      <c r="F97" s="1046"/>
      <c r="G97" s="1046">
        <f t="shared" si="33"/>
        <v>47266761</v>
      </c>
      <c r="H97" s="1046"/>
      <c r="I97" s="1046">
        <f t="shared" si="35"/>
        <v>47266761.385000005</v>
      </c>
      <c r="J97" s="1046">
        <f t="shared" si="35"/>
        <v>0</v>
      </c>
      <c r="K97" s="1046">
        <f t="shared" si="35"/>
        <v>0</v>
      </c>
      <c r="L97" s="1046"/>
      <c r="M97" s="847">
        <v>49872048</v>
      </c>
      <c r="N97" s="847">
        <v>0</v>
      </c>
      <c r="O97" s="847">
        <v>0</v>
      </c>
      <c r="P97" s="1046"/>
      <c r="Q97" s="847">
        <v>44661474.770000003</v>
      </c>
      <c r="R97" s="847">
        <v>0</v>
      </c>
      <c r="S97" s="847">
        <v>0</v>
      </c>
    </row>
    <row r="98" spans="1:19">
      <c r="A98" s="1076">
        <f t="shared" si="36"/>
        <v>9.1299999999999972</v>
      </c>
      <c r="B98" s="847" t="s">
        <v>1072</v>
      </c>
      <c r="C98" s="1046">
        <f t="shared" si="34"/>
        <v>1780952.75</v>
      </c>
      <c r="D98" s="1046">
        <f t="shared" si="32"/>
        <v>962814.02</v>
      </c>
      <c r="E98" s="1046"/>
      <c r="F98" s="1046"/>
      <c r="G98" s="1046">
        <f t="shared" si="33"/>
        <v>1371883</v>
      </c>
      <c r="H98" s="1046"/>
      <c r="I98" s="1046">
        <f t="shared" si="35"/>
        <v>1371883.385</v>
      </c>
      <c r="J98" s="1046">
        <f t="shared" si="35"/>
        <v>0</v>
      </c>
      <c r="K98" s="1046">
        <f t="shared" si="35"/>
        <v>0</v>
      </c>
      <c r="L98" s="1046"/>
      <c r="M98" s="847">
        <v>1780952.75</v>
      </c>
      <c r="N98" s="847">
        <v>0</v>
      </c>
      <c r="O98" s="847">
        <v>0</v>
      </c>
      <c r="P98" s="1046"/>
      <c r="Q98" s="847">
        <v>962814.02</v>
      </c>
      <c r="R98" s="847">
        <v>0</v>
      </c>
      <c r="S98" s="847">
        <v>0</v>
      </c>
    </row>
    <row r="99" spans="1:19">
      <c r="A99" s="1076">
        <f t="shared" si="36"/>
        <v>9.139999999999997</v>
      </c>
      <c r="B99" s="847" t="s">
        <v>1073</v>
      </c>
      <c r="C99" s="1046">
        <f t="shared" si="34"/>
        <v>375136.44</v>
      </c>
      <c r="D99" s="1046">
        <f t="shared" si="32"/>
        <v>580193.88</v>
      </c>
      <c r="E99" s="1046"/>
      <c r="F99" s="1046"/>
      <c r="G99" s="1046">
        <f t="shared" si="33"/>
        <v>477665</v>
      </c>
      <c r="H99" s="1046"/>
      <c r="I99" s="1046">
        <f t="shared" si="35"/>
        <v>477665.16000000003</v>
      </c>
      <c r="J99" s="1046">
        <f t="shared" si="35"/>
        <v>0</v>
      </c>
      <c r="K99" s="1046">
        <f t="shared" si="35"/>
        <v>0</v>
      </c>
      <c r="L99" s="1046"/>
      <c r="M99" s="847">
        <v>375136.44</v>
      </c>
      <c r="N99" s="847">
        <v>0</v>
      </c>
      <c r="O99" s="847">
        <v>0</v>
      </c>
      <c r="P99" s="1046"/>
      <c r="Q99" s="847">
        <v>580193.88</v>
      </c>
      <c r="R99" s="847">
        <v>0</v>
      </c>
      <c r="S99" s="847">
        <v>0</v>
      </c>
    </row>
    <row r="100" spans="1:19">
      <c r="A100" s="1076">
        <f t="shared" si="36"/>
        <v>9.1499999999999968</v>
      </c>
      <c r="B100" s="847" t="s">
        <v>1074</v>
      </c>
      <c r="C100" s="1046">
        <f t="shared" si="34"/>
        <v>27645704.149999999</v>
      </c>
      <c r="D100" s="1046">
        <f t="shared" si="32"/>
        <v>27314947.73</v>
      </c>
      <c r="E100" s="1046"/>
      <c r="F100" s="1046"/>
      <c r="G100" s="1046">
        <f t="shared" si="33"/>
        <v>27480326</v>
      </c>
      <c r="H100" s="1046"/>
      <c r="I100" s="1046">
        <f t="shared" si="35"/>
        <v>12001391.414999999</v>
      </c>
      <c r="J100" s="1046">
        <f t="shared" si="35"/>
        <v>1022451.33</v>
      </c>
      <c r="K100" s="1046">
        <f t="shared" si="35"/>
        <v>14456483.195</v>
      </c>
      <c r="L100" s="1046"/>
      <c r="M100" s="847">
        <v>12244469.9</v>
      </c>
      <c r="N100" s="847">
        <v>976710</v>
      </c>
      <c r="O100" s="847">
        <v>14424524.25</v>
      </c>
      <c r="P100" s="1046"/>
      <c r="Q100" s="847">
        <v>11758312.93</v>
      </c>
      <c r="R100" s="847">
        <v>1068192.6599999999</v>
      </c>
      <c r="S100" s="847">
        <v>14488442.140000001</v>
      </c>
    </row>
    <row r="101" spans="1:19">
      <c r="A101" s="1076">
        <f t="shared" si="36"/>
        <v>9.1599999999999966</v>
      </c>
      <c r="B101" s="847" t="s">
        <v>1075</v>
      </c>
      <c r="C101" s="1046">
        <f t="shared" si="34"/>
        <v>-34877616.269999996</v>
      </c>
      <c r="D101" s="1046">
        <f t="shared" si="32"/>
        <v>-26136687.359999999</v>
      </c>
      <c r="E101" s="1046"/>
      <c r="F101" s="1046"/>
      <c r="G101" s="1046">
        <f t="shared" si="33"/>
        <v>-30507152</v>
      </c>
      <c r="H101" s="1046"/>
      <c r="I101" s="1046">
        <f t="shared" si="35"/>
        <v>-8946324.6600000001</v>
      </c>
      <c r="J101" s="1046">
        <f t="shared" si="35"/>
        <v>-3279543.12</v>
      </c>
      <c r="K101" s="1046">
        <f t="shared" si="35"/>
        <v>-18281284.035</v>
      </c>
      <c r="L101" s="1046"/>
      <c r="M101" s="847">
        <v>-11080308.960000001</v>
      </c>
      <c r="N101" s="847">
        <v>-3385130.7</v>
      </c>
      <c r="O101" s="847">
        <v>-20412176.609999999</v>
      </c>
      <c r="P101" s="1046"/>
      <c r="Q101" s="847">
        <v>-6812340.3600000003</v>
      </c>
      <c r="R101" s="847">
        <v>-3173955.54</v>
      </c>
      <c r="S101" s="847">
        <v>-16150391.460000001</v>
      </c>
    </row>
    <row r="102" spans="1:19">
      <c r="A102" s="1076">
        <f t="shared" si="36"/>
        <v>9.1699999999999964</v>
      </c>
      <c r="B102" s="847" t="s">
        <v>1076</v>
      </c>
      <c r="C102" s="1046">
        <f t="shared" si="34"/>
        <v>-0.31</v>
      </c>
      <c r="D102" s="1046">
        <f t="shared" si="32"/>
        <v>-0.31</v>
      </c>
      <c r="E102" s="1046"/>
      <c r="F102" s="1046"/>
      <c r="G102" s="1046">
        <f t="shared" si="33"/>
        <v>0</v>
      </c>
      <c r="H102" s="1046"/>
      <c r="I102" s="1046">
        <f t="shared" si="35"/>
        <v>0</v>
      </c>
      <c r="J102" s="1046">
        <f t="shared" si="35"/>
        <v>-0.31</v>
      </c>
      <c r="K102" s="1046">
        <f t="shared" si="35"/>
        <v>0</v>
      </c>
      <c r="L102" s="1046"/>
      <c r="M102" s="847">
        <v>0</v>
      </c>
      <c r="N102" s="847">
        <v>-0.31</v>
      </c>
      <c r="O102" s="847">
        <v>0</v>
      </c>
      <c r="P102" s="1046"/>
      <c r="Q102" s="847">
        <v>0</v>
      </c>
      <c r="R102" s="847">
        <v>-0.31</v>
      </c>
      <c r="S102" s="847">
        <v>0</v>
      </c>
    </row>
    <row r="103" spans="1:19">
      <c r="A103" s="1076">
        <f t="shared" si="36"/>
        <v>9.1799999999999962</v>
      </c>
      <c r="B103" s="847" t="s">
        <v>1077</v>
      </c>
      <c r="C103" s="1046">
        <f t="shared" si="34"/>
        <v>20140.68</v>
      </c>
      <c r="D103" s="1046">
        <f t="shared" si="32"/>
        <v>20140.68</v>
      </c>
      <c r="E103" s="1046"/>
      <c r="F103" s="1046"/>
      <c r="G103" s="1046">
        <f t="shared" si="33"/>
        <v>20141</v>
      </c>
      <c r="H103" s="1046"/>
      <c r="I103" s="1046">
        <f t="shared" si="35"/>
        <v>20140.68</v>
      </c>
      <c r="J103" s="1046">
        <f t="shared" si="35"/>
        <v>0</v>
      </c>
      <c r="K103" s="1046">
        <f t="shared" si="35"/>
        <v>0</v>
      </c>
      <c r="L103" s="1046"/>
      <c r="M103" s="847">
        <v>20140.68</v>
      </c>
      <c r="N103" s="847">
        <v>0</v>
      </c>
      <c r="O103" s="847">
        <v>0</v>
      </c>
      <c r="P103" s="1046"/>
      <c r="Q103" s="847">
        <v>20140.68</v>
      </c>
      <c r="R103" s="847">
        <v>0</v>
      </c>
      <c r="S103" s="847">
        <v>0</v>
      </c>
    </row>
    <row r="104" spans="1:19">
      <c r="A104" s="1076">
        <f t="shared" si="36"/>
        <v>9.1899999999999959</v>
      </c>
      <c r="B104" s="847" t="s">
        <v>1078</v>
      </c>
      <c r="C104" s="1046">
        <f t="shared" si="34"/>
        <v>27187.23</v>
      </c>
      <c r="D104" s="1046">
        <f t="shared" si="32"/>
        <v>27187.23</v>
      </c>
      <c r="E104" s="1046"/>
      <c r="F104" s="1046"/>
      <c r="G104" s="1046">
        <f t="shared" si="33"/>
        <v>27187</v>
      </c>
      <c r="H104" s="1046"/>
      <c r="I104" s="1046">
        <f t="shared" si="35"/>
        <v>0</v>
      </c>
      <c r="J104" s="1046">
        <f t="shared" si="35"/>
        <v>11305.14</v>
      </c>
      <c r="K104" s="1046">
        <f t="shared" si="35"/>
        <v>15882.09</v>
      </c>
      <c r="L104" s="1046"/>
      <c r="M104" s="847">
        <v>0</v>
      </c>
      <c r="N104" s="847">
        <v>11305.14</v>
      </c>
      <c r="O104" s="847">
        <v>15882.09</v>
      </c>
      <c r="P104" s="1046"/>
      <c r="Q104" s="847">
        <v>0</v>
      </c>
      <c r="R104" s="847">
        <v>11305.14</v>
      </c>
      <c r="S104" s="847">
        <v>15882.09</v>
      </c>
    </row>
    <row r="105" spans="1:19">
      <c r="A105" s="1076">
        <f t="shared" si="36"/>
        <v>9.1999999999999957</v>
      </c>
      <c r="B105" s="847" t="s">
        <v>1079</v>
      </c>
      <c r="C105" s="1046">
        <f t="shared" si="34"/>
        <v>-9445.17</v>
      </c>
      <c r="D105" s="1046">
        <f t="shared" si="32"/>
        <v>-9445.17</v>
      </c>
      <c r="E105" s="1046"/>
      <c r="F105" s="1046"/>
      <c r="G105" s="1046">
        <f t="shared" si="33"/>
        <v>-9445</v>
      </c>
      <c r="H105" s="1046"/>
      <c r="I105" s="1046">
        <f t="shared" si="35"/>
        <v>0</v>
      </c>
      <c r="J105" s="1046">
        <f t="shared" si="35"/>
        <v>-6705.09</v>
      </c>
      <c r="K105" s="1046">
        <f t="shared" si="35"/>
        <v>-2740.08</v>
      </c>
      <c r="L105" s="1046"/>
      <c r="M105" s="847">
        <v>0</v>
      </c>
      <c r="N105" s="847">
        <v>-6705.09</v>
      </c>
      <c r="O105" s="847">
        <v>-2740.08</v>
      </c>
      <c r="P105" s="1046"/>
      <c r="Q105" s="847">
        <v>0</v>
      </c>
      <c r="R105" s="847">
        <v>-6705.09</v>
      </c>
      <c r="S105" s="847">
        <v>-2740.08</v>
      </c>
    </row>
    <row r="106" spans="1:19">
      <c r="A106" s="1076">
        <f t="shared" si="36"/>
        <v>9.2099999999999955</v>
      </c>
      <c r="B106" s="847" t="s">
        <v>1080</v>
      </c>
      <c r="C106" s="1046">
        <f t="shared" si="34"/>
        <v>179534.64</v>
      </c>
      <c r="D106" s="1046">
        <f t="shared" si="32"/>
        <v>220986.57</v>
      </c>
      <c r="E106" s="1046"/>
      <c r="F106" s="1046"/>
      <c r="G106" s="1046">
        <f t="shared" si="33"/>
        <v>200261</v>
      </c>
      <c r="H106" s="1046"/>
      <c r="I106" s="1046">
        <f t="shared" si="35"/>
        <v>200260.60500000001</v>
      </c>
      <c r="J106" s="1046">
        <f t="shared" si="35"/>
        <v>0</v>
      </c>
      <c r="K106" s="1046">
        <f t="shared" si="35"/>
        <v>0</v>
      </c>
      <c r="L106" s="1046"/>
      <c r="M106" s="847">
        <v>179534.64</v>
      </c>
      <c r="N106" s="847">
        <v>0</v>
      </c>
      <c r="O106" s="847">
        <v>0</v>
      </c>
      <c r="P106" s="1046"/>
      <c r="Q106" s="847">
        <v>220986.57</v>
      </c>
      <c r="R106" s="847">
        <v>0</v>
      </c>
      <c r="S106" s="847">
        <v>0</v>
      </c>
    </row>
    <row r="107" spans="1:19">
      <c r="A107" s="1076">
        <f t="shared" si="36"/>
        <v>9.2199999999999953</v>
      </c>
      <c r="B107" s="847" t="s">
        <v>1201</v>
      </c>
      <c r="C107" s="1046">
        <f t="shared" ref="C107" si="37">SUM(M107:O107)</f>
        <v>-47349.39</v>
      </c>
      <c r="D107" s="1046">
        <f t="shared" ref="D107" si="38">SUM(Q107:S107)</f>
        <v>-92607.65</v>
      </c>
      <c r="E107" s="1046"/>
      <c r="F107" s="1046"/>
      <c r="G107" s="1046">
        <f t="shared" ref="G107" si="39">ROUND(SUM(C107:F107)/2,0)</f>
        <v>-69979</v>
      </c>
      <c r="H107" s="1046"/>
      <c r="I107" s="1046">
        <f t="shared" ref="I107" si="40">(M107+Q107)/2</f>
        <v>-69978.51999999999</v>
      </c>
      <c r="J107" s="1046">
        <f t="shared" ref="J107" si="41">(N107+R107)/2</f>
        <v>0</v>
      </c>
      <c r="K107" s="1046">
        <f t="shared" ref="K107" si="42">(O107+S107)/2</f>
        <v>0</v>
      </c>
      <c r="L107" s="1046"/>
      <c r="M107" s="847">
        <v>-47349.39</v>
      </c>
      <c r="N107" s="847">
        <v>0</v>
      </c>
      <c r="O107" s="847">
        <v>0</v>
      </c>
      <c r="P107" s="1046"/>
      <c r="Q107" s="847">
        <v>-92607.65</v>
      </c>
      <c r="R107" s="847">
        <v>0</v>
      </c>
      <c r="S107" s="847"/>
    </row>
    <row r="108" spans="1:19">
      <c r="A108" s="1076">
        <f t="shared" si="36"/>
        <v>9.2299999999999951</v>
      </c>
      <c r="B108" s="847" t="s">
        <v>1368</v>
      </c>
      <c r="C108" s="1046">
        <f t="shared" ref="C108" si="43">SUM(M108:O108)</f>
        <v>0</v>
      </c>
      <c r="D108" s="1046">
        <f t="shared" ref="D108" si="44">SUM(Q108:S108)</f>
        <v>1100019.8999999999</v>
      </c>
      <c r="E108" s="1046"/>
      <c r="F108" s="1046"/>
      <c r="G108" s="1046">
        <f t="shared" ref="G108" si="45">ROUND(SUM(C108:F108)/2,0)</f>
        <v>550010</v>
      </c>
      <c r="H108" s="1046"/>
      <c r="I108" s="1046">
        <f t="shared" ref="I108" si="46">(M108+Q108)/2</f>
        <v>192869.80499999999</v>
      </c>
      <c r="J108" s="1046">
        <f t="shared" ref="J108" si="47">(N108+R108)/2</f>
        <v>29273.58</v>
      </c>
      <c r="K108" s="1046">
        <f t="shared" ref="K108" si="48">(O108+S108)/2</f>
        <v>327866.565</v>
      </c>
      <c r="L108" s="1046"/>
      <c r="M108" s="847">
        <v>0</v>
      </c>
      <c r="N108" s="847">
        <v>0</v>
      </c>
      <c r="O108" s="847">
        <v>0</v>
      </c>
      <c r="P108" s="1046"/>
      <c r="Q108" s="847">
        <v>385739.61</v>
      </c>
      <c r="R108" s="847">
        <v>58547.16</v>
      </c>
      <c r="S108" s="847">
        <v>655733.13</v>
      </c>
    </row>
    <row r="109" spans="1:19">
      <c r="A109" s="1076">
        <f t="shared" si="36"/>
        <v>9.2399999999999949</v>
      </c>
      <c r="B109" s="847" t="s">
        <v>1081</v>
      </c>
      <c r="C109" s="1046">
        <f t="shared" si="34"/>
        <v>0</v>
      </c>
      <c r="D109" s="1046">
        <f t="shared" si="32"/>
        <v>0</v>
      </c>
      <c r="E109" s="1046"/>
      <c r="F109" s="1046"/>
      <c r="G109" s="1046">
        <f t="shared" si="33"/>
        <v>0</v>
      </c>
      <c r="H109" s="1046"/>
      <c r="I109" s="1046">
        <f t="shared" si="35"/>
        <v>0</v>
      </c>
      <c r="J109" s="1046">
        <f t="shared" si="35"/>
        <v>0</v>
      </c>
      <c r="K109" s="1046">
        <f t="shared" si="35"/>
        <v>0</v>
      </c>
      <c r="L109" s="1046"/>
      <c r="M109" s="847">
        <v>0</v>
      </c>
      <c r="N109" s="847">
        <v>0</v>
      </c>
      <c r="O109" s="847">
        <v>0</v>
      </c>
      <c r="P109" s="1046"/>
      <c r="Q109" s="847">
        <v>0</v>
      </c>
      <c r="R109" s="847">
        <v>0</v>
      </c>
      <c r="S109" s="847">
        <v>0</v>
      </c>
    </row>
    <row r="110" spans="1:19">
      <c r="A110" s="1076">
        <f t="shared" si="36"/>
        <v>9.2499999999999947</v>
      </c>
      <c r="B110" s="847" t="s">
        <v>1082</v>
      </c>
      <c r="C110" s="1046">
        <f t="shared" si="34"/>
        <v>80935.08</v>
      </c>
      <c r="D110" s="1046">
        <f t="shared" si="32"/>
        <v>43580.41</v>
      </c>
      <c r="E110" s="1046"/>
      <c r="F110" s="1046"/>
      <c r="G110" s="1046">
        <f t="shared" si="33"/>
        <v>62258</v>
      </c>
      <c r="H110" s="1046"/>
      <c r="I110" s="1046">
        <f t="shared" si="35"/>
        <v>0</v>
      </c>
      <c r="J110" s="1046">
        <f t="shared" si="35"/>
        <v>0</v>
      </c>
      <c r="K110" s="1046">
        <f t="shared" si="35"/>
        <v>62257.745000000003</v>
      </c>
      <c r="L110" s="1046"/>
      <c r="M110" s="847">
        <v>0</v>
      </c>
      <c r="N110" s="847">
        <v>0</v>
      </c>
      <c r="O110" s="847">
        <v>80935.08</v>
      </c>
      <c r="P110" s="1046"/>
      <c r="Q110" s="847">
        <v>0</v>
      </c>
      <c r="R110" s="847">
        <v>0</v>
      </c>
      <c r="S110" s="847">
        <v>43580.41</v>
      </c>
    </row>
    <row r="111" spans="1:19">
      <c r="A111" s="1076">
        <f t="shared" si="36"/>
        <v>9.2599999999999945</v>
      </c>
      <c r="B111" s="847" t="s">
        <v>1083</v>
      </c>
      <c r="C111" s="1046">
        <f t="shared" si="34"/>
        <v>1451190.55</v>
      </c>
      <c r="D111" s="1046">
        <f t="shared" si="32"/>
        <v>1416864.36</v>
      </c>
      <c r="E111" s="1046"/>
      <c r="F111" s="1046"/>
      <c r="G111" s="1046">
        <f t="shared" si="33"/>
        <v>1434027</v>
      </c>
      <c r="H111" s="1046"/>
      <c r="I111" s="1046">
        <f t="shared" si="35"/>
        <v>0</v>
      </c>
      <c r="J111" s="1046">
        <f t="shared" si="35"/>
        <v>0</v>
      </c>
      <c r="K111" s="1046">
        <f t="shared" si="35"/>
        <v>1434027.4550000001</v>
      </c>
      <c r="L111" s="1046"/>
      <c r="M111" s="847">
        <v>0</v>
      </c>
      <c r="N111" s="847">
        <v>0</v>
      </c>
      <c r="O111" s="847">
        <v>1451190.55</v>
      </c>
      <c r="P111" s="1046"/>
      <c r="Q111" s="847">
        <v>0</v>
      </c>
      <c r="R111" s="847">
        <v>0</v>
      </c>
      <c r="S111" s="847">
        <v>1416864.36</v>
      </c>
    </row>
    <row r="112" spans="1:19">
      <c r="A112" s="1076">
        <f t="shared" si="36"/>
        <v>9.2699999999999942</v>
      </c>
      <c r="B112" s="847" t="s">
        <v>1084</v>
      </c>
      <c r="C112" s="1046">
        <f t="shared" si="34"/>
        <v>92955.6</v>
      </c>
      <c r="D112" s="1046">
        <f t="shared" si="32"/>
        <v>92955.6</v>
      </c>
      <c r="E112" s="1046"/>
      <c r="F112" s="1046"/>
      <c r="G112" s="1046">
        <f>ROUND(SUM(C112:F112)/2,0)</f>
        <v>92956</v>
      </c>
      <c r="H112" s="1046"/>
      <c r="I112" s="1046">
        <f t="shared" si="35"/>
        <v>92955.6</v>
      </c>
      <c r="J112" s="1046">
        <f t="shared" si="35"/>
        <v>0</v>
      </c>
      <c r="K112" s="1046">
        <f t="shared" si="35"/>
        <v>0</v>
      </c>
      <c r="L112" s="1046"/>
      <c r="M112" s="847">
        <v>92955.6</v>
      </c>
      <c r="N112" s="847">
        <v>0</v>
      </c>
      <c r="O112" s="847">
        <v>0</v>
      </c>
      <c r="P112" s="1046"/>
      <c r="Q112" s="847">
        <v>92955.6</v>
      </c>
      <c r="R112" s="847">
        <v>0</v>
      </c>
      <c r="S112" s="847">
        <v>0</v>
      </c>
    </row>
    <row r="113" spans="1:19">
      <c r="A113" s="1076">
        <f t="shared" si="36"/>
        <v>9.279999999999994</v>
      </c>
      <c r="B113" s="847" t="s">
        <v>1085</v>
      </c>
      <c r="C113" s="1046">
        <f t="shared" si="34"/>
        <v>5188160.43</v>
      </c>
      <c r="D113" s="1046">
        <f t="shared" si="32"/>
        <v>5145816.45</v>
      </c>
      <c r="E113" s="1046"/>
      <c r="F113" s="1046"/>
      <c r="G113" s="1046">
        <f t="shared" si="33"/>
        <v>5166988</v>
      </c>
      <c r="H113" s="1046"/>
      <c r="I113" s="1046">
        <f t="shared" si="35"/>
        <v>5166988.4399999995</v>
      </c>
      <c r="J113" s="1046">
        <f t="shared" si="35"/>
        <v>0</v>
      </c>
      <c r="K113" s="1046">
        <f t="shared" si="35"/>
        <v>0</v>
      </c>
      <c r="L113" s="1046"/>
      <c r="M113" s="847">
        <v>5188160.43</v>
      </c>
      <c r="N113" s="847">
        <v>0</v>
      </c>
      <c r="O113" s="847">
        <v>0</v>
      </c>
      <c r="P113" s="1046"/>
      <c r="Q113" s="847">
        <v>5145816.45</v>
      </c>
      <c r="R113" s="847">
        <v>0</v>
      </c>
      <c r="S113" s="847">
        <v>0</v>
      </c>
    </row>
    <row r="114" spans="1:19">
      <c r="A114" s="1076">
        <f t="shared" si="36"/>
        <v>9.2899999999999938</v>
      </c>
      <c r="B114" s="847" t="s">
        <v>1086</v>
      </c>
      <c r="C114" s="1046">
        <f t="shared" si="34"/>
        <v>-225454.71</v>
      </c>
      <c r="D114" s="1046">
        <f t="shared" si="32"/>
        <v>-225454.71</v>
      </c>
      <c r="E114" s="1046"/>
      <c r="F114" s="1046"/>
      <c r="G114" s="1046">
        <f t="shared" si="33"/>
        <v>-225455</v>
      </c>
      <c r="H114" s="1046"/>
      <c r="I114" s="1046">
        <f t="shared" si="35"/>
        <v>-225454.71</v>
      </c>
      <c r="J114" s="1046">
        <f t="shared" si="35"/>
        <v>0</v>
      </c>
      <c r="K114" s="1046">
        <f t="shared" si="35"/>
        <v>0</v>
      </c>
      <c r="L114" s="1046"/>
      <c r="M114" s="847">
        <v>-225454.71</v>
      </c>
      <c r="N114" s="847">
        <v>0</v>
      </c>
      <c r="O114" s="847">
        <v>0</v>
      </c>
      <c r="P114" s="1046"/>
      <c r="Q114" s="847">
        <v>-225454.71</v>
      </c>
      <c r="R114" s="847">
        <v>0</v>
      </c>
      <c r="S114" s="847">
        <v>0</v>
      </c>
    </row>
    <row r="115" spans="1:19">
      <c r="A115" s="1076">
        <f t="shared" si="36"/>
        <v>9.2999999999999936</v>
      </c>
      <c r="B115" s="847" t="s">
        <v>1087</v>
      </c>
      <c r="C115" s="1046">
        <f t="shared" si="34"/>
        <v>-7144.65</v>
      </c>
      <c r="D115" s="1046">
        <f t="shared" si="32"/>
        <v>-7144.65</v>
      </c>
      <c r="E115" s="1046"/>
      <c r="F115" s="1046"/>
      <c r="G115" s="1046">
        <f>ROUND(SUM(C115:F115)/2,0)</f>
        <v>-7145</v>
      </c>
      <c r="H115" s="1046"/>
      <c r="I115" s="1046">
        <f t="shared" si="35"/>
        <v>-7144.65</v>
      </c>
      <c r="J115" s="1046">
        <f t="shared" si="35"/>
        <v>0</v>
      </c>
      <c r="K115" s="1046">
        <f t="shared" si="35"/>
        <v>0</v>
      </c>
      <c r="L115" s="1046"/>
      <c r="M115" s="847">
        <v>-7144.65</v>
      </c>
      <c r="N115" s="847">
        <v>0</v>
      </c>
      <c r="O115" s="847">
        <v>0</v>
      </c>
      <c r="P115" s="1046"/>
      <c r="Q115" s="847">
        <v>-7144.65</v>
      </c>
      <c r="R115" s="847">
        <v>0</v>
      </c>
      <c r="S115" s="847">
        <v>0</v>
      </c>
    </row>
    <row r="116" spans="1:19">
      <c r="A116" s="1076">
        <f t="shared" si="36"/>
        <v>9.3099999999999934</v>
      </c>
      <c r="B116" s="847" t="s">
        <v>1088</v>
      </c>
      <c r="C116" s="1046">
        <f t="shared" si="34"/>
        <v>0</v>
      </c>
      <c r="D116" s="1046">
        <f t="shared" si="32"/>
        <v>0</v>
      </c>
      <c r="E116" s="1046"/>
      <c r="F116" s="1046"/>
      <c r="G116" s="1046">
        <f t="shared" si="33"/>
        <v>0</v>
      </c>
      <c r="H116" s="1046"/>
      <c r="I116" s="1046">
        <f t="shared" si="35"/>
        <v>0</v>
      </c>
      <c r="J116" s="1046">
        <f t="shared" si="35"/>
        <v>0</v>
      </c>
      <c r="K116" s="1046">
        <f t="shared" si="35"/>
        <v>0</v>
      </c>
      <c r="L116" s="1046"/>
      <c r="M116" s="847">
        <v>0</v>
      </c>
      <c r="N116" s="847">
        <v>0</v>
      </c>
      <c r="O116" s="847">
        <v>0</v>
      </c>
      <c r="P116" s="1046"/>
      <c r="Q116" s="847">
        <v>0</v>
      </c>
      <c r="R116" s="847">
        <v>0</v>
      </c>
      <c r="S116" s="847">
        <v>0</v>
      </c>
    </row>
    <row r="117" spans="1:19">
      <c r="A117" s="1076">
        <f t="shared" si="36"/>
        <v>9.3199999999999932</v>
      </c>
      <c r="B117" s="847" t="s">
        <v>1089</v>
      </c>
      <c r="C117" s="1046">
        <f t="shared" si="34"/>
        <v>3065.11</v>
      </c>
      <c r="D117" s="1046">
        <f t="shared" si="32"/>
        <v>3065.11</v>
      </c>
      <c r="E117" s="1046"/>
      <c r="F117" s="1046"/>
      <c r="G117" s="1046">
        <f t="shared" si="33"/>
        <v>3065</v>
      </c>
      <c r="H117" s="1046"/>
      <c r="I117" s="1046">
        <f t="shared" si="35"/>
        <v>0</v>
      </c>
      <c r="J117" s="1046">
        <f t="shared" si="35"/>
        <v>0</v>
      </c>
      <c r="K117" s="1046">
        <f t="shared" si="35"/>
        <v>3065.11</v>
      </c>
      <c r="L117" s="1046"/>
      <c r="M117" s="847">
        <v>0</v>
      </c>
      <c r="N117" s="847">
        <v>0</v>
      </c>
      <c r="O117" s="847">
        <v>3065.11</v>
      </c>
      <c r="P117" s="1046"/>
      <c r="Q117" s="847">
        <v>0</v>
      </c>
      <c r="R117" s="847">
        <v>0</v>
      </c>
      <c r="S117" s="847">
        <v>3065.11</v>
      </c>
    </row>
    <row r="118" spans="1:19">
      <c r="A118" s="1076">
        <f t="shared" si="36"/>
        <v>9.329999999999993</v>
      </c>
      <c r="B118" s="847" t="s">
        <v>1090</v>
      </c>
      <c r="C118" s="1046">
        <f t="shared" si="34"/>
        <v>-0.63</v>
      </c>
      <c r="D118" s="1046">
        <f t="shared" si="32"/>
        <v>-0.63</v>
      </c>
      <c r="E118" s="1046"/>
      <c r="F118" s="1046"/>
      <c r="G118" s="1046">
        <f t="shared" si="33"/>
        <v>-1</v>
      </c>
      <c r="H118" s="1046"/>
      <c r="I118" s="1046">
        <f t="shared" si="35"/>
        <v>0</v>
      </c>
      <c r="J118" s="1046">
        <f t="shared" si="35"/>
        <v>0</v>
      </c>
      <c r="K118" s="1046">
        <f t="shared" si="35"/>
        <v>-0.63</v>
      </c>
      <c r="L118" s="1046"/>
      <c r="M118" s="847">
        <v>0</v>
      </c>
      <c r="N118" s="847">
        <v>0</v>
      </c>
      <c r="O118" s="847">
        <v>-0.63</v>
      </c>
      <c r="P118" s="1046"/>
      <c r="Q118" s="847">
        <v>0</v>
      </c>
      <c r="R118" s="847">
        <v>0</v>
      </c>
      <c r="S118" s="847">
        <v>-0.63</v>
      </c>
    </row>
    <row r="119" spans="1:19">
      <c r="A119" s="1076">
        <f t="shared" si="36"/>
        <v>9.3399999999999928</v>
      </c>
      <c r="B119" s="847" t="s">
        <v>1091</v>
      </c>
      <c r="C119" s="1050">
        <f t="shared" si="34"/>
        <v>0.11</v>
      </c>
      <c r="D119" s="1050">
        <f t="shared" si="32"/>
        <v>0.11</v>
      </c>
      <c r="E119" s="1050"/>
      <c r="F119" s="1050"/>
      <c r="G119" s="1050">
        <f t="shared" si="33"/>
        <v>0</v>
      </c>
      <c r="H119" s="1050"/>
      <c r="I119" s="1050">
        <f t="shared" si="35"/>
        <v>0.11</v>
      </c>
      <c r="J119" s="1050">
        <f t="shared" si="35"/>
        <v>0</v>
      </c>
      <c r="K119" s="1050">
        <f t="shared" si="35"/>
        <v>0</v>
      </c>
      <c r="L119" s="1050"/>
      <c r="M119" s="847">
        <v>0.11</v>
      </c>
      <c r="N119" s="847">
        <v>0</v>
      </c>
      <c r="O119" s="847">
        <v>0</v>
      </c>
      <c r="P119" s="1050"/>
      <c r="Q119" s="847">
        <v>0.11</v>
      </c>
      <c r="R119" s="847">
        <v>0</v>
      </c>
      <c r="S119" s="847">
        <v>0</v>
      </c>
    </row>
    <row r="120" spans="1:19">
      <c r="A120" s="1076">
        <f t="shared" si="36"/>
        <v>9.3499999999999925</v>
      </c>
      <c r="B120" s="847" t="s">
        <v>1092</v>
      </c>
      <c r="C120" s="1046">
        <f t="shared" si="34"/>
        <v>34877616.269999996</v>
      </c>
      <c r="D120" s="1046">
        <f t="shared" si="32"/>
        <v>26136687.359999999</v>
      </c>
      <c r="E120" s="1046"/>
      <c r="F120" s="1046"/>
      <c r="G120" s="1046">
        <f t="shared" si="33"/>
        <v>30507152</v>
      </c>
      <c r="H120" s="1046"/>
      <c r="I120" s="1046">
        <f t="shared" si="35"/>
        <v>8946324.6600000001</v>
      </c>
      <c r="J120" s="1046">
        <f t="shared" si="35"/>
        <v>3279543.12</v>
      </c>
      <c r="K120" s="1046">
        <f t="shared" si="35"/>
        <v>18281284.035</v>
      </c>
      <c r="L120" s="1046"/>
      <c r="M120" s="847">
        <v>11080308.960000001</v>
      </c>
      <c r="N120" s="847">
        <v>3385130.7</v>
      </c>
      <c r="O120" s="847">
        <v>20412176.609999999</v>
      </c>
      <c r="P120" s="1046"/>
      <c r="Q120" s="847">
        <v>6812340.3600000003</v>
      </c>
      <c r="R120" s="847">
        <v>3173955.54</v>
      </c>
      <c r="S120" s="847">
        <v>16150391.460000001</v>
      </c>
    </row>
    <row r="121" spans="1:19">
      <c r="A121" s="1076">
        <f t="shared" si="36"/>
        <v>9.3599999999999923</v>
      </c>
      <c r="B121" s="847" t="s">
        <v>1093</v>
      </c>
      <c r="C121" s="1046">
        <f t="shared" si="34"/>
        <v>45487.89</v>
      </c>
      <c r="D121" s="1046">
        <f t="shared" si="32"/>
        <v>50536.92</v>
      </c>
      <c r="E121" s="1046"/>
      <c r="F121" s="1046"/>
      <c r="G121" s="1046">
        <f t="shared" si="33"/>
        <v>48012</v>
      </c>
      <c r="H121" s="1046"/>
      <c r="I121" s="1046">
        <f t="shared" si="35"/>
        <v>2575.335</v>
      </c>
      <c r="J121" s="1046">
        <f t="shared" si="35"/>
        <v>0</v>
      </c>
      <c r="K121" s="1046">
        <f t="shared" si="35"/>
        <v>45437.07</v>
      </c>
      <c r="L121" s="1046"/>
      <c r="M121" s="847">
        <v>2530.08</v>
      </c>
      <c r="N121" s="847">
        <v>0</v>
      </c>
      <c r="O121" s="847">
        <v>42957.81</v>
      </c>
      <c r="P121" s="1046"/>
      <c r="Q121" s="847">
        <v>2620.59</v>
      </c>
      <c r="R121" s="847">
        <v>0</v>
      </c>
      <c r="S121" s="847">
        <v>47916.33</v>
      </c>
    </row>
    <row r="122" spans="1:19">
      <c r="A122" s="1076">
        <f t="shared" si="36"/>
        <v>9.3699999999999921</v>
      </c>
      <c r="B122" s="847" t="s">
        <v>1094</v>
      </c>
      <c r="C122" s="1046">
        <f t="shared" si="34"/>
        <v>-1149377.43</v>
      </c>
      <c r="D122" s="1046">
        <f t="shared" si="32"/>
        <v>-2173062.38</v>
      </c>
      <c r="E122" s="1046"/>
      <c r="F122" s="1046"/>
      <c r="G122" s="1046">
        <f t="shared" si="33"/>
        <v>-1661220</v>
      </c>
      <c r="H122" s="1046"/>
      <c r="I122" s="1046">
        <f t="shared" si="35"/>
        <v>-897307.53</v>
      </c>
      <c r="J122" s="1046">
        <f t="shared" si="35"/>
        <v>171412.82500000001</v>
      </c>
      <c r="K122" s="1046">
        <f t="shared" si="35"/>
        <v>-935325.2</v>
      </c>
      <c r="L122" s="1046"/>
      <c r="M122" s="847">
        <v>-668711.06999999995</v>
      </c>
      <c r="N122" s="847">
        <v>188004.37</v>
      </c>
      <c r="O122" s="847">
        <v>-668670.73</v>
      </c>
      <c r="P122" s="1046"/>
      <c r="Q122" s="847">
        <v>-1125903.99</v>
      </c>
      <c r="R122" s="847">
        <v>154821.28</v>
      </c>
      <c r="S122" s="847">
        <v>-1201979.67</v>
      </c>
    </row>
    <row r="123" spans="1:19">
      <c r="A123" s="1076">
        <f t="shared" si="36"/>
        <v>9.3799999999999919</v>
      </c>
      <c r="B123" s="847" t="s">
        <v>1095</v>
      </c>
      <c r="C123" s="1046">
        <f t="shared" si="34"/>
        <v>0.02</v>
      </c>
      <c r="D123" s="1046">
        <f t="shared" si="32"/>
        <v>3939635.14</v>
      </c>
      <c r="E123" s="1046"/>
      <c r="F123" s="1046"/>
      <c r="G123" s="1046">
        <f t="shared" si="33"/>
        <v>1969818</v>
      </c>
      <c r="H123" s="1046"/>
      <c r="I123" s="1046">
        <f t="shared" si="35"/>
        <v>0</v>
      </c>
      <c r="J123" s="1046">
        <f t="shared" si="35"/>
        <v>1969817.58</v>
      </c>
      <c r="K123" s="1046">
        <f t="shared" si="35"/>
        <v>0</v>
      </c>
      <c r="L123" s="1046"/>
      <c r="M123" s="847">
        <v>0</v>
      </c>
      <c r="N123" s="847">
        <v>0.02</v>
      </c>
      <c r="O123" s="847">
        <v>0</v>
      </c>
      <c r="P123" s="1046"/>
      <c r="Q123" s="847">
        <v>0</v>
      </c>
      <c r="R123" s="847">
        <v>3939635.14</v>
      </c>
      <c r="S123" s="847">
        <v>0</v>
      </c>
    </row>
    <row r="124" spans="1:19">
      <c r="A124" s="1076">
        <f t="shared" si="36"/>
        <v>9.3899999999999917</v>
      </c>
      <c r="B124" s="847" t="s">
        <v>1096</v>
      </c>
      <c r="C124" s="1046">
        <f t="shared" si="34"/>
        <v>-5391595.5199999996</v>
      </c>
      <c r="D124" s="1046">
        <f t="shared" si="32"/>
        <v>-5446825.6799999997</v>
      </c>
      <c r="E124" s="1046"/>
      <c r="F124" s="1046"/>
      <c r="G124" s="1046">
        <f t="shared" si="33"/>
        <v>-5419211</v>
      </c>
      <c r="H124" s="1046"/>
      <c r="I124" s="1046">
        <f t="shared" si="35"/>
        <v>-5419210.5999999996</v>
      </c>
      <c r="J124" s="1046">
        <f t="shared" si="35"/>
        <v>0</v>
      </c>
      <c r="K124" s="1046">
        <f t="shared" si="35"/>
        <v>0</v>
      </c>
      <c r="L124" s="1046"/>
      <c r="M124" s="847">
        <v>-5391595.5199999996</v>
      </c>
      <c r="N124" s="847">
        <v>0</v>
      </c>
      <c r="O124" s="847">
        <v>0</v>
      </c>
      <c r="P124" s="1046"/>
      <c r="Q124" s="847">
        <v>-5446825.6799999997</v>
      </c>
      <c r="R124" s="847">
        <v>0</v>
      </c>
      <c r="S124" s="847">
        <v>0</v>
      </c>
    </row>
    <row r="125" spans="1:19">
      <c r="A125" s="1076">
        <f t="shared" si="36"/>
        <v>9.3999999999999915</v>
      </c>
      <c r="B125" s="847" t="s">
        <v>1097</v>
      </c>
      <c r="C125" s="1046">
        <f t="shared" si="34"/>
        <v>565379.11</v>
      </c>
      <c r="D125" s="1046">
        <f t="shared" si="32"/>
        <v>1357064.15</v>
      </c>
      <c r="E125" s="1046"/>
      <c r="F125" s="1046"/>
      <c r="G125" s="1046">
        <f t="shared" si="33"/>
        <v>961222</v>
      </c>
      <c r="H125" s="1046"/>
      <c r="I125" s="1046">
        <f t="shared" si="35"/>
        <v>961221.62999999989</v>
      </c>
      <c r="J125" s="1046">
        <f t="shared" si="35"/>
        <v>0</v>
      </c>
      <c r="K125" s="1046">
        <f t="shared" si="35"/>
        <v>0</v>
      </c>
      <c r="L125" s="1046"/>
      <c r="M125" s="847">
        <v>565379.11</v>
      </c>
      <c r="N125" s="847">
        <v>0</v>
      </c>
      <c r="O125" s="847">
        <v>0</v>
      </c>
      <c r="P125" s="1046"/>
      <c r="Q125" s="847">
        <v>1357064.15</v>
      </c>
      <c r="R125" s="847">
        <v>0</v>
      </c>
      <c r="S125" s="847">
        <v>0</v>
      </c>
    </row>
    <row r="126" spans="1:19">
      <c r="A126" s="1076">
        <f t="shared" si="36"/>
        <v>9.4099999999999913</v>
      </c>
      <c r="B126" s="847" t="s">
        <v>1098</v>
      </c>
      <c r="C126" s="1046">
        <f t="shared" si="34"/>
        <v>-0.01</v>
      </c>
      <c r="D126" s="1046">
        <f t="shared" si="32"/>
        <v>-0.01</v>
      </c>
      <c r="E126" s="1046"/>
      <c r="F126" s="1046"/>
      <c r="G126" s="1046">
        <f t="shared" si="33"/>
        <v>0</v>
      </c>
      <c r="H126" s="1046"/>
      <c r="I126" s="1046">
        <f t="shared" si="35"/>
        <v>-0.01</v>
      </c>
      <c r="J126" s="1046">
        <f t="shared" si="35"/>
        <v>0</v>
      </c>
      <c r="K126" s="1046">
        <f t="shared" si="35"/>
        <v>0</v>
      </c>
      <c r="L126" s="1046"/>
      <c r="M126" s="847">
        <v>-0.01</v>
      </c>
      <c r="N126" s="847">
        <v>0</v>
      </c>
      <c r="O126" s="847">
        <v>0</v>
      </c>
      <c r="P126" s="1046"/>
      <c r="Q126" s="847">
        <v>-0.01</v>
      </c>
      <c r="R126" s="847">
        <v>0</v>
      </c>
      <c r="S126" s="847">
        <v>0</v>
      </c>
    </row>
    <row r="127" spans="1:19">
      <c r="A127" s="1076">
        <f t="shared" si="36"/>
        <v>9.419999999999991</v>
      </c>
      <c r="B127" s="847" t="s">
        <v>1099</v>
      </c>
      <c r="C127" s="1046">
        <f t="shared" si="34"/>
        <v>0</v>
      </c>
      <c r="D127" s="1046">
        <f t="shared" si="32"/>
        <v>0</v>
      </c>
      <c r="E127" s="1046"/>
      <c r="F127" s="1046"/>
      <c r="G127" s="1046">
        <f t="shared" si="33"/>
        <v>0</v>
      </c>
      <c r="H127" s="1046"/>
      <c r="I127" s="1046">
        <f t="shared" si="35"/>
        <v>0</v>
      </c>
      <c r="J127" s="1046">
        <f t="shared" si="35"/>
        <v>0</v>
      </c>
      <c r="K127" s="1046">
        <f t="shared" si="35"/>
        <v>0</v>
      </c>
      <c r="L127" s="1046"/>
      <c r="M127" s="847">
        <v>0</v>
      </c>
      <c r="N127" s="847">
        <v>0</v>
      </c>
      <c r="O127" s="847">
        <v>0</v>
      </c>
      <c r="P127" s="1046"/>
      <c r="Q127" s="847">
        <v>0</v>
      </c>
      <c r="R127" s="847">
        <v>0</v>
      </c>
      <c r="S127" s="847">
        <v>0</v>
      </c>
    </row>
    <row r="128" spans="1:19">
      <c r="A128" s="1076">
        <f t="shared" si="36"/>
        <v>9.4299999999999908</v>
      </c>
      <c r="B128" s="847" t="s">
        <v>1100</v>
      </c>
      <c r="C128" s="1046">
        <f t="shared" si="34"/>
        <v>-9.9999999999999985E-3</v>
      </c>
      <c r="D128" s="1046">
        <f t="shared" si="32"/>
        <v>-9.9999999999999985E-3</v>
      </c>
      <c r="E128" s="1046"/>
      <c r="F128" s="1046"/>
      <c r="G128" s="1046">
        <f t="shared" si="33"/>
        <v>0</v>
      </c>
      <c r="H128" s="1046"/>
      <c r="I128" s="1046">
        <f t="shared" si="35"/>
        <v>-0.02</v>
      </c>
      <c r="J128" s="1046">
        <f t="shared" si="35"/>
        <v>-0.01</v>
      </c>
      <c r="K128" s="1046">
        <f t="shared" si="35"/>
        <v>0.02</v>
      </c>
      <c r="L128" s="1046"/>
      <c r="M128" s="847">
        <v>-0.02</v>
      </c>
      <c r="N128" s="847">
        <v>-0.01</v>
      </c>
      <c r="O128" s="847">
        <v>0.02</v>
      </c>
      <c r="P128" s="1046"/>
      <c r="Q128" s="847">
        <v>-0.02</v>
      </c>
      <c r="R128" s="847">
        <v>-0.01</v>
      </c>
      <c r="S128" s="847">
        <v>0.02</v>
      </c>
    </row>
    <row r="129" spans="1:19">
      <c r="A129" s="1076">
        <f t="shared" si="36"/>
        <v>9.4399999999999906</v>
      </c>
      <c r="B129" s="847" t="s">
        <v>1101</v>
      </c>
      <c r="C129" s="1046">
        <f t="shared" si="34"/>
        <v>0</v>
      </c>
      <c r="D129" s="1046">
        <f t="shared" si="32"/>
        <v>0</v>
      </c>
      <c r="E129" s="1046"/>
      <c r="F129" s="1046"/>
      <c r="G129" s="1046">
        <f t="shared" si="33"/>
        <v>0</v>
      </c>
      <c r="H129" s="1046"/>
      <c r="I129" s="1046">
        <f t="shared" si="35"/>
        <v>0</v>
      </c>
      <c r="J129" s="1046">
        <f t="shared" si="35"/>
        <v>0</v>
      </c>
      <c r="K129" s="1046">
        <f t="shared" si="35"/>
        <v>0</v>
      </c>
      <c r="L129" s="1046"/>
      <c r="M129" s="847">
        <v>0</v>
      </c>
      <c r="N129" s="847">
        <v>0</v>
      </c>
      <c r="O129" s="847">
        <v>0</v>
      </c>
      <c r="P129" s="1046"/>
      <c r="Q129" s="847">
        <v>0</v>
      </c>
      <c r="R129" s="847">
        <v>0</v>
      </c>
      <c r="S129" s="847">
        <v>0</v>
      </c>
    </row>
    <row r="130" spans="1:19">
      <c r="A130" s="1076">
        <f t="shared" si="36"/>
        <v>9.4499999999999904</v>
      </c>
      <c r="B130" s="847" t="s">
        <v>1102</v>
      </c>
      <c r="C130" s="1046">
        <f t="shared" si="34"/>
        <v>0</v>
      </c>
      <c r="D130" s="1046">
        <f t="shared" si="32"/>
        <v>0</v>
      </c>
      <c r="E130" s="1046"/>
      <c r="F130" s="1046"/>
      <c r="G130" s="1046">
        <f t="shared" si="33"/>
        <v>0</v>
      </c>
      <c r="H130" s="1046"/>
      <c r="I130" s="1046">
        <f t="shared" si="35"/>
        <v>0</v>
      </c>
      <c r="J130" s="1046">
        <f t="shared" si="35"/>
        <v>0</v>
      </c>
      <c r="K130" s="1046">
        <f t="shared" si="35"/>
        <v>0</v>
      </c>
      <c r="L130" s="1046"/>
      <c r="M130" s="847">
        <v>0</v>
      </c>
      <c r="N130" s="847">
        <v>0</v>
      </c>
      <c r="O130" s="847">
        <v>0</v>
      </c>
      <c r="P130" s="1046"/>
      <c r="Q130" s="847">
        <v>0</v>
      </c>
      <c r="R130" s="847">
        <v>0</v>
      </c>
      <c r="S130" s="847">
        <v>0</v>
      </c>
    </row>
    <row r="131" spans="1:19">
      <c r="A131" s="1076">
        <f t="shared" si="36"/>
        <v>9.4599999999999902</v>
      </c>
      <c r="B131" s="847" t="s">
        <v>1103</v>
      </c>
      <c r="C131" s="1046">
        <f t="shared" si="34"/>
        <v>93327.48</v>
      </c>
      <c r="D131" s="1046">
        <f t="shared" si="32"/>
        <v>54709.19</v>
      </c>
      <c r="E131" s="1046"/>
      <c r="F131" s="1046"/>
      <c r="G131" s="1046">
        <f t="shared" si="33"/>
        <v>74018</v>
      </c>
      <c r="H131" s="1046"/>
      <c r="I131" s="1046">
        <f t="shared" si="35"/>
        <v>74018.334999999992</v>
      </c>
      <c r="J131" s="1046">
        <f t="shared" si="35"/>
        <v>0</v>
      </c>
      <c r="K131" s="1046">
        <f t="shared" si="35"/>
        <v>0</v>
      </c>
      <c r="L131" s="1046"/>
      <c r="M131" s="847">
        <v>93327.48</v>
      </c>
      <c r="N131" s="847">
        <v>0</v>
      </c>
      <c r="O131" s="847">
        <v>0</v>
      </c>
      <c r="P131" s="1046"/>
      <c r="Q131" s="847">
        <v>54709.19</v>
      </c>
      <c r="R131" s="847">
        <v>0</v>
      </c>
      <c r="S131" s="847">
        <v>0</v>
      </c>
    </row>
    <row r="132" spans="1:19">
      <c r="A132" s="1076">
        <f t="shared" si="36"/>
        <v>9.46999999999999</v>
      </c>
      <c r="B132" s="847" t="s">
        <v>1104</v>
      </c>
      <c r="C132" s="1046">
        <f t="shared" si="34"/>
        <v>1208642.3600000001</v>
      </c>
      <c r="D132" s="1046">
        <f t="shared" si="32"/>
        <v>850596.48</v>
      </c>
      <c r="E132" s="1046"/>
      <c r="F132" s="1046"/>
      <c r="G132" s="1046">
        <f t="shared" si="33"/>
        <v>1029619</v>
      </c>
      <c r="H132" s="1046"/>
      <c r="I132" s="1046">
        <f t="shared" si="35"/>
        <v>0</v>
      </c>
      <c r="J132" s="1046">
        <f t="shared" si="35"/>
        <v>0</v>
      </c>
      <c r="K132" s="1046">
        <f t="shared" si="35"/>
        <v>1029619.42</v>
      </c>
      <c r="L132" s="1046"/>
      <c r="M132" s="847">
        <v>0</v>
      </c>
      <c r="N132" s="847">
        <v>0</v>
      </c>
      <c r="O132" s="847">
        <v>1208642.3600000001</v>
      </c>
      <c r="P132" s="1046"/>
      <c r="Q132" s="847">
        <v>0</v>
      </c>
      <c r="R132" s="847">
        <v>0</v>
      </c>
      <c r="S132" s="847">
        <v>850596.48</v>
      </c>
    </row>
    <row r="133" spans="1:19">
      <c r="A133" s="1076">
        <f t="shared" si="36"/>
        <v>9.4799999999999898</v>
      </c>
      <c r="B133" s="847" t="s">
        <v>1374</v>
      </c>
      <c r="C133" s="1046">
        <f t="shared" si="34"/>
        <v>0</v>
      </c>
      <c r="D133" s="1046">
        <f t="shared" si="32"/>
        <v>1416864.11</v>
      </c>
      <c r="E133" s="1046"/>
      <c r="F133" s="1046"/>
      <c r="G133" s="1046">
        <f t="shared" si="33"/>
        <v>708432</v>
      </c>
      <c r="H133" s="1046"/>
      <c r="I133" s="1046">
        <f t="shared" si="35"/>
        <v>0</v>
      </c>
      <c r="J133" s="1046">
        <f t="shared" si="35"/>
        <v>0</v>
      </c>
      <c r="K133" s="1046">
        <f t="shared" si="35"/>
        <v>708432.05500000005</v>
      </c>
      <c r="L133" s="1046"/>
      <c r="M133" s="847">
        <v>0</v>
      </c>
      <c r="N133" s="847">
        <v>0</v>
      </c>
      <c r="O133" s="847">
        <v>0</v>
      </c>
      <c r="P133" s="1046"/>
      <c r="Q133" s="847">
        <v>0</v>
      </c>
      <c r="R133" s="847">
        <v>0</v>
      </c>
      <c r="S133" s="847">
        <v>1416864.11</v>
      </c>
    </row>
    <row r="134" spans="1:19">
      <c r="A134" s="1076">
        <f t="shared" si="36"/>
        <v>9.4899999999999896</v>
      </c>
      <c r="B134" s="847" t="s">
        <v>1105</v>
      </c>
      <c r="C134" s="1046">
        <f t="shared" si="34"/>
        <v>1064439.27</v>
      </c>
      <c r="D134" s="1046">
        <f t="shared" si="32"/>
        <v>649035.72</v>
      </c>
      <c r="E134" s="1046"/>
      <c r="F134" s="1046"/>
      <c r="G134" s="1046">
        <f t="shared" si="33"/>
        <v>856737</v>
      </c>
      <c r="H134" s="1046"/>
      <c r="I134" s="1046">
        <f t="shared" si="35"/>
        <v>856737.495</v>
      </c>
      <c r="J134" s="1046">
        <f t="shared" si="35"/>
        <v>0</v>
      </c>
      <c r="K134" s="1046">
        <f t="shared" si="35"/>
        <v>0</v>
      </c>
      <c r="L134" s="1046"/>
      <c r="M134" s="847">
        <v>1064439.27</v>
      </c>
      <c r="N134" s="847">
        <v>0</v>
      </c>
      <c r="O134" s="847">
        <v>0</v>
      </c>
      <c r="P134" s="1046"/>
      <c r="Q134" s="847">
        <v>649035.72</v>
      </c>
      <c r="R134" s="847">
        <v>0</v>
      </c>
      <c r="S134" s="847">
        <v>0</v>
      </c>
    </row>
    <row r="135" spans="1:19">
      <c r="A135" s="1076">
        <f t="shared" si="36"/>
        <v>9.4999999999999893</v>
      </c>
      <c r="B135" s="847" t="s">
        <v>1106</v>
      </c>
      <c r="C135" s="1046">
        <f t="shared" si="34"/>
        <v>0</v>
      </c>
      <c r="D135" s="1046">
        <f t="shared" si="32"/>
        <v>0</v>
      </c>
      <c r="E135" s="1046"/>
      <c r="F135" s="1046"/>
      <c r="G135" s="1046">
        <f t="shared" si="33"/>
        <v>0</v>
      </c>
      <c r="H135" s="1046"/>
      <c r="I135" s="1046">
        <f t="shared" si="35"/>
        <v>0</v>
      </c>
      <c r="J135" s="1046">
        <f t="shared" si="35"/>
        <v>0</v>
      </c>
      <c r="K135" s="1046">
        <f t="shared" si="35"/>
        <v>0</v>
      </c>
      <c r="L135" s="1046"/>
      <c r="M135" s="847">
        <v>0</v>
      </c>
      <c r="N135" s="847">
        <v>0</v>
      </c>
      <c r="O135" s="847">
        <v>0</v>
      </c>
      <c r="P135" s="1046"/>
      <c r="Q135" s="847">
        <v>0</v>
      </c>
      <c r="R135" s="847">
        <v>0</v>
      </c>
      <c r="S135" s="847">
        <v>0</v>
      </c>
    </row>
    <row r="136" spans="1:19">
      <c r="A136" s="1076">
        <f t="shared" si="36"/>
        <v>9.5099999999999891</v>
      </c>
      <c r="B136" s="847" t="s">
        <v>1107</v>
      </c>
      <c r="C136" s="1046">
        <f t="shared" si="34"/>
        <v>0</v>
      </c>
      <c r="D136" s="1046">
        <f t="shared" si="32"/>
        <v>0</v>
      </c>
      <c r="E136" s="1046"/>
      <c r="F136" s="1046"/>
      <c r="G136" s="1046">
        <f t="shared" si="33"/>
        <v>0</v>
      </c>
      <c r="H136" s="1046"/>
      <c r="I136" s="1046">
        <f t="shared" si="35"/>
        <v>0</v>
      </c>
      <c r="J136" s="1046">
        <f t="shared" si="35"/>
        <v>0</v>
      </c>
      <c r="K136" s="1046">
        <f t="shared" si="35"/>
        <v>0</v>
      </c>
      <c r="L136" s="1046"/>
      <c r="M136" s="847">
        <v>0</v>
      </c>
      <c r="N136" s="847">
        <v>0</v>
      </c>
      <c r="O136" s="847">
        <v>0</v>
      </c>
      <c r="P136" s="1046"/>
      <c r="Q136" s="847">
        <v>0</v>
      </c>
      <c r="R136" s="847">
        <v>0</v>
      </c>
      <c r="S136" s="847">
        <v>0</v>
      </c>
    </row>
    <row r="137" spans="1:19">
      <c r="A137" s="1076">
        <f t="shared" si="36"/>
        <v>9.5199999999999889</v>
      </c>
      <c r="B137" s="847" t="s">
        <v>1108</v>
      </c>
      <c r="C137" s="1046">
        <f t="shared" si="34"/>
        <v>0</v>
      </c>
      <c r="D137" s="1046">
        <f t="shared" si="32"/>
        <v>0</v>
      </c>
      <c r="E137" s="1046"/>
      <c r="F137" s="1046"/>
      <c r="G137" s="1046">
        <f t="shared" si="33"/>
        <v>0</v>
      </c>
      <c r="H137" s="1046"/>
      <c r="I137" s="1046">
        <f t="shared" si="35"/>
        <v>0</v>
      </c>
      <c r="J137" s="1046">
        <f t="shared" si="35"/>
        <v>0</v>
      </c>
      <c r="K137" s="1046">
        <f t="shared" si="35"/>
        <v>0</v>
      </c>
      <c r="L137" s="1046"/>
      <c r="M137" s="847">
        <v>0</v>
      </c>
      <c r="N137" s="847">
        <v>0</v>
      </c>
      <c r="O137" s="847">
        <v>0</v>
      </c>
      <c r="P137" s="1046"/>
      <c r="Q137" s="847">
        <v>0</v>
      </c>
      <c r="R137" s="847">
        <v>0</v>
      </c>
      <c r="S137" s="847">
        <v>0</v>
      </c>
    </row>
    <row r="138" spans="1:19">
      <c r="A138" s="1076">
        <f t="shared" si="36"/>
        <v>9.5299999999999887</v>
      </c>
      <c r="B138" s="847" t="s">
        <v>1109</v>
      </c>
      <c r="C138" s="1046">
        <f t="shared" si="34"/>
        <v>0</v>
      </c>
      <c r="D138" s="1046">
        <f t="shared" si="32"/>
        <v>0</v>
      </c>
      <c r="E138" s="1046"/>
      <c r="F138" s="1046"/>
      <c r="G138" s="1046">
        <f t="shared" si="33"/>
        <v>0</v>
      </c>
      <c r="H138" s="1046"/>
      <c r="I138" s="1046">
        <f t="shared" si="35"/>
        <v>0</v>
      </c>
      <c r="J138" s="1046">
        <f t="shared" si="35"/>
        <v>0</v>
      </c>
      <c r="K138" s="1046">
        <f t="shared" si="35"/>
        <v>0</v>
      </c>
      <c r="L138" s="1046"/>
      <c r="M138" s="847">
        <v>0</v>
      </c>
      <c r="N138" s="847">
        <v>0</v>
      </c>
      <c r="O138" s="847">
        <v>0</v>
      </c>
      <c r="P138" s="1046"/>
      <c r="Q138" s="847">
        <v>0</v>
      </c>
      <c r="R138" s="847">
        <v>0</v>
      </c>
      <c r="S138" s="847">
        <v>0</v>
      </c>
    </row>
    <row r="139" spans="1:19">
      <c r="A139" s="1076">
        <f t="shared" si="36"/>
        <v>9.5399999999999885</v>
      </c>
      <c r="B139" s="847" t="s">
        <v>1110</v>
      </c>
      <c r="C139" s="1046">
        <f t="shared" si="34"/>
        <v>0</v>
      </c>
      <c r="D139" s="1046">
        <f t="shared" si="32"/>
        <v>0</v>
      </c>
      <c r="E139" s="1046"/>
      <c r="F139" s="1046"/>
      <c r="G139" s="1046">
        <f t="shared" si="33"/>
        <v>0</v>
      </c>
      <c r="H139" s="1046"/>
      <c r="I139" s="1046">
        <f t="shared" si="35"/>
        <v>0</v>
      </c>
      <c r="J139" s="1046">
        <f t="shared" si="35"/>
        <v>0</v>
      </c>
      <c r="K139" s="1046">
        <f t="shared" si="35"/>
        <v>0</v>
      </c>
      <c r="L139" s="1046"/>
      <c r="M139" s="847">
        <v>0</v>
      </c>
      <c r="N139" s="847">
        <v>0</v>
      </c>
      <c r="O139" s="847">
        <v>0</v>
      </c>
      <c r="P139" s="1046"/>
      <c r="Q139" s="847">
        <v>0</v>
      </c>
      <c r="R139" s="847">
        <v>0</v>
      </c>
      <c r="S139" s="847">
        <v>0</v>
      </c>
    </row>
    <row r="140" spans="1:19">
      <c r="A140" s="1076">
        <f t="shared" si="36"/>
        <v>9.5499999999999883</v>
      </c>
      <c r="B140" s="847" t="s">
        <v>1111</v>
      </c>
      <c r="C140" s="1046">
        <f t="shared" si="34"/>
        <v>0</v>
      </c>
      <c r="D140" s="1046">
        <f t="shared" si="32"/>
        <v>0</v>
      </c>
      <c r="E140" s="1046"/>
      <c r="F140" s="1046"/>
      <c r="G140" s="1046">
        <f t="shared" si="33"/>
        <v>0</v>
      </c>
      <c r="H140" s="1046"/>
      <c r="I140" s="1046">
        <f t="shared" si="35"/>
        <v>0</v>
      </c>
      <c r="J140" s="1046">
        <f t="shared" si="35"/>
        <v>0</v>
      </c>
      <c r="K140" s="1046">
        <f t="shared" si="35"/>
        <v>0</v>
      </c>
      <c r="L140" s="1046"/>
      <c r="M140" s="847">
        <v>0</v>
      </c>
      <c r="N140" s="847">
        <v>0</v>
      </c>
      <c r="O140" s="847">
        <v>0</v>
      </c>
      <c r="P140" s="1046"/>
      <c r="Q140" s="847">
        <v>0</v>
      </c>
      <c r="R140" s="847">
        <v>0</v>
      </c>
      <c r="S140" s="847">
        <v>0</v>
      </c>
    </row>
    <row r="141" spans="1:19">
      <c r="A141" s="1076">
        <f t="shared" si="36"/>
        <v>9.5599999999999881</v>
      </c>
      <c r="B141" s="847" t="s">
        <v>1112</v>
      </c>
      <c r="C141" s="1046">
        <f t="shared" si="34"/>
        <v>0</v>
      </c>
      <c r="D141" s="1046">
        <f t="shared" si="32"/>
        <v>0</v>
      </c>
      <c r="E141" s="1046"/>
      <c r="F141" s="1046"/>
      <c r="G141" s="1046">
        <f t="shared" si="33"/>
        <v>0</v>
      </c>
      <c r="H141" s="1046"/>
      <c r="I141" s="1046">
        <f t="shared" si="35"/>
        <v>0</v>
      </c>
      <c r="J141" s="1046">
        <f t="shared" si="35"/>
        <v>0</v>
      </c>
      <c r="K141" s="1046">
        <f t="shared" si="35"/>
        <v>0</v>
      </c>
      <c r="L141" s="1046"/>
      <c r="M141" s="847">
        <v>0</v>
      </c>
      <c r="N141" s="847">
        <v>0</v>
      </c>
      <c r="O141" s="847">
        <v>0</v>
      </c>
      <c r="P141" s="1046"/>
      <c r="Q141" s="847">
        <v>0</v>
      </c>
      <c r="R141" s="847">
        <v>0</v>
      </c>
      <c r="S141" s="847">
        <v>0</v>
      </c>
    </row>
    <row r="142" spans="1:19">
      <c r="A142" s="1076">
        <f t="shared" si="36"/>
        <v>9.5699999999999878</v>
      </c>
      <c r="B142" s="847" t="s">
        <v>1113</v>
      </c>
      <c r="C142" s="1046">
        <f t="shared" si="34"/>
        <v>9157330.7300000004</v>
      </c>
      <c r="D142" s="1046">
        <f t="shared" si="32"/>
        <v>9527453.8200000003</v>
      </c>
      <c r="E142" s="1046"/>
      <c r="F142" s="1046"/>
      <c r="G142" s="1046">
        <f t="shared" si="33"/>
        <v>9342392</v>
      </c>
      <c r="H142" s="1046"/>
      <c r="I142" s="1046">
        <f t="shared" si="35"/>
        <v>0</v>
      </c>
      <c r="J142" s="1046">
        <f t="shared" si="35"/>
        <v>0</v>
      </c>
      <c r="K142" s="1046">
        <f t="shared" si="35"/>
        <v>9342392.2750000004</v>
      </c>
      <c r="L142" s="1046"/>
      <c r="M142" s="847">
        <v>0</v>
      </c>
      <c r="N142" s="847">
        <v>0</v>
      </c>
      <c r="O142" s="847">
        <v>9157330.7300000004</v>
      </c>
      <c r="P142" s="1046"/>
      <c r="Q142" s="847">
        <v>0</v>
      </c>
      <c r="R142" s="847">
        <v>0</v>
      </c>
      <c r="S142" s="847">
        <v>9527453.8200000003</v>
      </c>
    </row>
    <row r="143" spans="1:19">
      <c r="A143" s="1076">
        <f t="shared" si="36"/>
        <v>9.5799999999999876</v>
      </c>
      <c r="B143" s="847" t="s">
        <v>1114</v>
      </c>
      <c r="C143" s="1046">
        <f t="shared" si="34"/>
        <v>0</v>
      </c>
      <c r="D143" s="1046">
        <f t="shared" si="32"/>
        <v>0</v>
      </c>
      <c r="E143" s="1046"/>
      <c r="F143" s="1046"/>
      <c r="G143" s="1046">
        <f>ROUND(SUM(C143:F143)/2,0)</f>
        <v>0</v>
      </c>
      <c r="H143" s="1046"/>
      <c r="I143" s="1046">
        <f t="shared" si="35"/>
        <v>0</v>
      </c>
      <c r="J143" s="1046">
        <f t="shared" si="35"/>
        <v>0</v>
      </c>
      <c r="K143" s="1046">
        <f t="shared" si="35"/>
        <v>0</v>
      </c>
      <c r="L143" s="1046"/>
      <c r="M143" s="847">
        <v>0</v>
      </c>
      <c r="N143" s="847">
        <v>0</v>
      </c>
      <c r="O143" s="847">
        <v>0</v>
      </c>
      <c r="P143" s="1046"/>
      <c r="Q143" s="847">
        <v>0</v>
      </c>
      <c r="R143" s="847">
        <v>0</v>
      </c>
      <c r="S143" s="847">
        <v>0</v>
      </c>
    </row>
    <row r="144" spans="1:19">
      <c r="A144" s="1076">
        <f t="shared" si="36"/>
        <v>9.5899999999999874</v>
      </c>
      <c r="B144" s="847" t="s">
        <v>1115</v>
      </c>
      <c r="C144" s="1046">
        <f t="shared" si="34"/>
        <v>0</v>
      </c>
      <c r="D144" s="1046">
        <f t="shared" si="32"/>
        <v>0</v>
      </c>
      <c r="E144" s="1046"/>
      <c r="F144" s="1046"/>
      <c r="G144" s="1046">
        <f>ROUND(SUM(C144:F144)/2,0)</f>
        <v>0</v>
      </c>
      <c r="H144" s="1046"/>
      <c r="I144" s="1046">
        <f t="shared" si="35"/>
        <v>0</v>
      </c>
      <c r="J144" s="1046">
        <f t="shared" si="35"/>
        <v>0</v>
      </c>
      <c r="K144" s="1046">
        <f t="shared" si="35"/>
        <v>0</v>
      </c>
      <c r="L144" s="1046"/>
      <c r="M144" s="847">
        <v>0</v>
      </c>
      <c r="N144" s="847">
        <v>0</v>
      </c>
      <c r="O144" s="847">
        <v>0</v>
      </c>
      <c r="P144" s="1046"/>
      <c r="Q144" s="847">
        <v>0</v>
      </c>
      <c r="R144" s="847">
        <v>0</v>
      </c>
      <c r="S144" s="847">
        <v>0</v>
      </c>
    </row>
    <row r="145" spans="1:19">
      <c r="A145" s="1076">
        <f t="shared" si="36"/>
        <v>9.5999999999999872</v>
      </c>
      <c r="B145" s="847" t="s">
        <v>1116</v>
      </c>
      <c r="C145" s="1046">
        <f t="shared" si="34"/>
        <v>0</v>
      </c>
      <c r="D145" s="1046">
        <f t="shared" si="32"/>
        <v>0</v>
      </c>
      <c r="E145" s="1046"/>
      <c r="F145" s="1046"/>
      <c r="G145" s="1046">
        <f>ROUND(SUM(C145:F145)/2,0)</f>
        <v>0</v>
      </c>
      <c r="H145" s="1046"/>
      <c r="I145" s="1046">
        <f t="shared" si="35"/>
        <v>0</v>
      </c>
      <c r="J145" s="1046">
        <f t="shared" si="35"/>
        <v>0</v>
      </c>
      <c r="K145" s="1046">
        <f t="shared" si="35"/>
        <v>0</v>
      </c>
      <c r="L145" s="1046"/>
      <c r="M145" s="847">
        <v>0</v>
      </c>
      <c r="N145" s="847">
        <v>0</v>
      </c>
      <c r="O145" s="847">
        <v>0</v>
      </c>
      <c r="P145" s="1046"/>
      <c r="Q145" s="847">
        <v>0</v>
      </c>
      <c r="R145" s="847">
        <v>0</v>
      </c>
      <c r="S145" s="847">
        <v>0</v>
      </c>
    </row>
    <row r="146" spans="1:19">
      <c r="A146" s="1076">
        <f t="shared" si="36"/>
        <v>9.609999999999987</v>
      </c>
      <c r="B146" s="847" t="s">
        <v>1117</v>
      </c>
      <c r="C146" s="1046">
        <f t="shared" si="34"/>
        <v>0</v>
      </c>
      <c r="D146" s="1046">
        <f t="shared" si="32"/>
        <v>0</v>
      </c>
      <c r="E146" s="1046"/>
      <c r="F146" s="1046"/>
      <c r="G146" s="1046">
        <f t="shared" ref="G146:G191" si="49">ROUND(SUM(C146:F146)/2,0)</f>
        <v>0</v>
      </c>
      <c r="H146" s="1046"/>
      <c r="I146" s="1046">
        <f t="shared" si="35"/>
        <v>0</v>
      </c>
      <c r="J146" s="1046">
        <f t="shared" si="35"/>
        <v>0</v>
      </c>
      <c r="K146" s="1046">
        <f t="shared" si="35"/>
        <v>0</v>
      </c>
      <c r="L146" s="1046"/>
      <c r="M146" s="847">
        <v>0</v>
      </c>
      <c r="N146" s="847">
        <v>0</v>
      </c>
      <c r="O146" s="847">
        <v>0</v>
      </c>
      <c r="P146" s="1046"/>
      <c r="Q146" s="847">
        <v>0</v>
      </c>
      <c r="R146" s="847">
        <v>0</v>
      </c>
      <c r="S146" s="847">
        <v>0</v>
      </c>
    </row>
    <row r="147" spans="1:19">
      <c r="A147" s="1076">
        <f t="shared" si="36"/>
        <v>9.6199999999999868</v>
      </c>
      <c r="B147" s="847" t="s">
        <v>1118</v>
      </c>
      <c r="C147" s="1046">
        <f t="shared" si="34"/>
        <v>0</v>
      </c>
      <c r="D147" s="1046">
        <f t="shared" si="32"/>
        <v>0</v>
      </c>
      <c r="E147" s="1046"/>
      <c r="F147" s="1046"/>
      <c r="G147" s="1046">
        <f t="shared" si="49"/>
        <v>0</v>
      </c>
      <c r="H147" s="1046"/>
      <c r="I147" s="1046">
        <f t="shared" si="35"/>
        <v>0</v>
      </c>
      <c r="J147" s="1046">
        <f t="shared" si="35"/>
        <v>0</v>
      </c>
      <c r="K147" s="1046">
        <f t="shared" si="35"/>
        <v>0</v>
      </c>
      <c r="L147" s="1046"/>
      <c r="M147" s="847">
        <v>0</v>
      </c>
      <c r="N147" s="847">
        <v>0</v>
      </c>
      <c r="O147" s="847">
        <v>0</v>
      </c>
      <c r="P147" s="1046"/>
      <c r="Q147" s="847">
        <v>0</v>
      </c>
      <c r="R147" s="847">
        <v>0</v>
      </c>
      <c r="S147" s="847">
        <v>0</v>
      </c>
    </row>
    <row r="148" spans="1:19">
      <c r="A148" s="1076">
        <f t="shared" si="36"/>
        <v>9.6299999999999866</v>
      </c>
      <c r="B148" s="847" t="s">
        <v>1119</v>
      </c>
      <c r="C148" s="1046">
        <f t="shared" si="34"/>
        <v>0</v>
      </c>
      <c r="D148" s="1046">
        <f t="shared" si="32"/>
        <v>0</v>
      </c>
      <c r="E148" s="1046"/>
      <c r="F148" s="1046"/>
      <c r="G148" s="1046">
        <f t="shared" si="49"/>
        <v>0</v>
      </c>
      <c r="H148" s="1046"/>
      <c r="I148" s="1046">
        <f t="shared" si="35"/>
        <v>0</v>
      </c>
      <c r="J148" s="1046">
        <f t="shared" si="35"/>
        <v>0</v>
      </c>
      <c r="K148" s="1046">
        <f t="shared" si="35"/>
        <v>0</v>
      </c>
      <c r="L148" s="1046"/>
      <c r="M148" s="847">
        <v>0</v>
      </c>
      <c r="N148" s="847">
        <v>0</v>
      </c>
      <c r="O148" s="847">
        <v>0</v>
      </c>
      <c r="P148" s="1046"/>
      <c r="Q148" s="847">
        <v>0</v>
      </c>
      <c r="R148" s="847">
        <v>0</v>
      </c>
      <c r="S148" s="847">
        <v>0</v>
      </c>
    </row>
    <row r="149" spans="1:19">
      <c r="A149" s="1076">
        <f t="shared" si="36"/>
        <v>9.6399999999999864</v>
      </c>
      <c r="B149" s="847" t="s">
        <v>1120</v>
      </c>
      <c r="C149" s="1046">
        <f t="shared" si="34"/>
        <v>32368.03</v>
      </c>
      <c r="D149" s="1046">
        <f t="shared" si="32"/>
        <v>-0.01</v>
      </c>
      <c r="E149" s="1046"/>
      <c r="F149" s="1046"/>
      <c r="G149" s="1046">
        <f t="shared" si="49"/>
        <v>16184</v>
      </c>
      <c r="H149" s="1046"/>
      <c r="I149" s="1046">
        <f t="shared" ref="I149:K174" si="50">(M149+Q149)/2</f>
        <v>16184.01</v>
      </c>
      <c r="J149" s="1046">
        <f t="shared" si="50"/>
        <v>0</v>
      </c>
      <c r="K149" s="1046">
        <f t="shared" si="50"/>
        <v>0</v>
      </c>
      <c r="L149" s="1046"/>
      <c r="M149" s="847">
        <v>32368.03</v>
      </c>
      <c r="N149" s="847">
        <v>0</v>
      </c>
      <c r="O149" s="847">
        <v>0</v>
      </c>
      <c r="P149" s="1046"/>
      <c r="Q149" s="847">
        <v>-0.01</v>
      </c>
      <c r="R149" s="847">
        <v>0</v>
      </c>
      <c r="S149" s="847">
        <v>0</v>
      </c>
    </row>
    <row r="150" spans="1:19">
      <c r="A150" s="1076">
        <f t="shared" si="36"/>
        <v>9.6499999999999861</v>
      </c>
      <c r="B150" s="847" t="s">
        <v>1121</v>
      </c>
      <c r="C150" s="1046">
        <f t="shared" si="34"/>
        <v>0</v>
      </c>
      <c r="D150" s="1046">
        <f t="shared" si="32"/>
        <v>0</v>
      </c>
      <c r="E150" s="1046"/>
      <c r="F150" s="1046"/>
      <c r="G150" s="1046">
        <f t="shared" si="49"/>
        <v>0</v>
      </c>
      <c r="H150" s="1046"/>
      <c r="I150" s="1046">
        <f t="shared" si="50"/>
        <v>0</v>
      </c>
      <c r="J150" s="1046">
        <f t="shared" si="50"/>
        <v>0</v>
      </c>
      <c r="K150" s="1046">
        <f t="shared" si="50"/>
        <v>0</v>
      </c>
      <c r="L150" s="1046"/>
      <c r="M150" s="847">
        <v>0</v>
      </c>
      <c r="N150" s="847">
        <v>0</v>
      </c>
      <c r="O150" s="847">
        <v>0</v>
      </c>
      <c r="P150" s="1046"/>
      <c r="Q150" s="847">
        <v>0</v>
      </c>
      <c r="R150" s="847">
        <v>0</v>
      </c>
      <c r="S150" s="847">
        <v>0</v>
      </c>
    </row>
    <row r="151" spans="1:19">
      <c r="A151" s="1076">
        <f t="shared" si="36"/>
        <v>9.6599999999999859</v>
      </c>
      <c r="B151" s="847" t="s">
        <v>1122</v>
      </c>
      <c r="C151" s="1046">
        <f t="shared" si="34"/>
        <v>107992.32000000001</v>
      </c>
      <c r="D151" s="1046">
        <f t="shared" si="32"/>
        <v>82074.17</v>
      </c>
      <c r="E151" s="1046"/>
      <c r="F151" s="1046"/>
      <c r="G151" s="1046">
        <f t="shared" si="49"/>
        <v>95033</v>
      </c>
      <c r="H151" s="1046"/>
      <c r="I151" s="1046">
        <f t="shared" si="50"/>
        <v>95033.244999999995</v>
      </c>
      <c r="J151" s="1046">
        <f t="shared" si="50"/>
        <v>0</v>
      </c>
      <c r="K151" s="1046">
        <f t="shared" si="50"/>
        <v>0</v>
      </c>
      <c r="L151" s="1046"/>
      <c r="M151" s="847">
        <v>107992.32000000001</v>
      </c>
      <c r="N151" s="847">
        <v>0</v>
      </c>
      <c r="O151" s="847">
        <v>0</v>
      </c>
      <c r="P151" s="1046"/>
      <c r="Q151" s="847">
        <v>82074.17</v>
      </c>
      <c r="R151" s="847">
        <v>0</v>
      </c>
      <c r="S151" s="847">
        <v>0</v>
      </c>
    </row>
    <row r="152" spans="1:19">
      <c r="A152" s="1076">
        <f t="shared" si="36"/>
        <v>9.6699999999999857</v>
      </c>
      <c r="B152" s="847" t="s">
        <v>1369</v>
      </c>
      <c r="C152" s="1046">
        <f t="shared" ref="C152:C156" si="51">SUM(M152:O152)</f>
        <v>0</v>
      </c>
      <c r="D152" s="1046">
        <f t="shared" ref="D152:D156" si="52">SUM(Q152:S152)</f>
        <v>1126.72</v>
      </c>
      <c r="E152" s="1046"/>
      <c r="F152" s="1046"/>
      <c r="G152" s="1046">
        <f t="shared" ref="G152:G156" si="53">ROUND(SUM(C152:F152)/2,0)</f>
        <v>563</v>
      </c>
      <c r="H152" s="1046"/>
      <c r="I152" s="1046">
        <f t="shared" ref="I152:I156" si="54">(M152+Q152)/2</f>
        <v>563.36</v>
      </c>
      <c r="J152" s="1046">
        <f t="shared" ref="J152:J156" si="55">(N152+R152)/2</f>
        <v>0</v>
      </c>
      <c r="K152" s="1046">
        <f t="shared" ref="K152:K156" si="56">(O152+S152)/2</f>
        <v>0</v>
      </c>
      <c r="L152" s="1046"/>
      <c r="M152" s="847">
        <v>0</v>
      </c>
      <c r="N152" s="847">
        <v>0</v>
      </c>
      <c r="O152" s="847">
        <v>0</v>
      </c>
      <c r="P152" s="1046"/>
      <c r="Q152" s="847">
        <v>1126.72</v>
      </c>
      <c r="R152" s="847">
        <v>0</v>
      </c>
      <c r="S152" s="847">
        <v>0</v>
      </c>
    </row>
    <row r="153" spans="1:19">
      <c r="A153" s="1076">
        <f t="shared" si="36"/>
        <v>9.6799999999999855</v>
      </c>
      <c r="B153" s="847" t="s">
        <v>1370</v>
      </c>
      <c r="C153" s="1046">
        <f t="shared" si="51"/>
        <v>0</v>
      </c>
      <c r="D153" s="1046">
        <f t="shared" si="52"/>
        <v>9663.27</v>
      </c>
      <c r="E153" s="1046"/>
      <c r="F153" s="1046"/>
      <c r="G153" s="1046">
        <f t="shared" si="53"/>
        <v>4832</v>
      </c>
      <c r="H153" s="1046"/>
      <c r="I153" s="1046">
        <f t="shared" si="54"/>
        <v>1436.865</v>
      </c>
      <c r="J153" s="1046">
        <f t="shared" si="55"/>
        <v>354.38499999999999</v>
      </c>
      <c r="K153" s="1046">
        <f t="shared" si="56"/>
        <v>3040.3850000000002</v>
      </c>
      <c r="L153" s="1046"/>
      <c r="M153" s="847">
        <v>0</v>
      </c>
      <c r="N153" s="847">
        <v>0</v>
      </c>
      <c r="O153" s="847">
        <v>0</v>
      </c>
      <c r="P153" s="1046"/>
      <c r="Q153" s="847">
        <v>2873.73</v>
      </c>
      <c r="R153" s="847">
        <v>708.77</v>
      </c>
      <c r="S153" s="847">
        <v>6080.77</v>
      </c>
    </row>
    <row r="154" spans="1:19">
      <c r="A154" s="1076">
        <f t="shared" si="36"/>
        <v>9.6899999999999853</v>
      </c>
      <c r="B154" s="847" t="s">
        <v>1373</v>
      </c>
      <c r="C154" s="1046">
        <f t="shared" ref="C154" si="57">SUM(M154:O154)</f>
        <v>0</v>
      </c>
      <c r="D154" s="1046">
        <f t="shared" ref="D154" si="58">SUM(Q154:S154)</f>
        <v>2416392.16</v>
      </c>
      <c r="E154" s="1046"/>
      <c r="F154" s="1046"/>
      <c r="G154" s="1046">
        <f t="shared" ref="G154" si="59">ROUND(SUM(C154:F154)/2,0)</f>
        <v>1208196</v>
      </c>
      <c r="H154" s="1046"/>
      <c r="I154" s="1046">
        <f t="shared" ref="I154" si="60">(M154+Q154)/2</f>
        <v>0</v>
      </c>
      <c r="J154" s="1046">
        <f t="shared" ref="J154" si="61">(N154+R154)/2</f>
        <v>1208196.08</v>
      </c>
      <c r="K154" s="1046">
        <f t="shared" ref="K154" si="62">(O154+S154)/2</f>
        <v>0</v>
      </c>
      <c r="L154" s="1046"/>
      <c r="M154" s="847">
        <v>0</v>
      </c>
      <c r="N154" s="847">
        <v>0</v>
      </c>
      <c r="O154" s="847">
        <v>0</v>
      </c>
      <c r="P154" s="1046"/>
      <c r="Q154" s="847">
        <v>0</v>
      </c>
      <c r="R154" s="847">
        <v>2416392.16</v>
      </c>
      <c r="S154" s="847">
        <v>0</v>
      </c>
    </row>
    <row r="155" spans="1:19">
      <c r="A155" s="1076">
        <f t="shared" si="36"/>
        <v>9.6999999999999851</v>
      </c>
      <c r="B155" s="847" t="s">
        <v>1371</v>
      </c>
      <c r="C155" s="1046">
        <f t="shared" si="51"/>
        <v>0</v>
      </c>
      <c r="D155" s="1046">
        <f t="shared" si="52"/>
        <v>41748512.909999996</v>
      </c>
      <c r="E155" s="1046"/>
      <c r="F155" s="1046"/>
      <c r="G155" s="1046">
        <f t="shared" si="53"/>
        <v>20874256</v>
      </c>
      <c r="H155" s="1046"/>
      <c r="I155" s="1046">
        <f t="shared" si="54"/>
        <v>20874256.454999998</v>
      </c>
      <c r="J155" s="1046">
        <f t="shared" si="55"/>
        <v>0</v>
      </c>
      <c r="K155" s="1046">
        <f t="shared" si="56"/>
        <v>0</v>
      </c>
      <c r="L155" s="1046"/>
      <c r="M155" s="847">
        <v>0</v>
      </c>
      <c r="N155" s="847">
        <v>0</v>
      </c>
      <c r="O155" s="847">
        <v>0</v>
      </c>
      <c r="P155" s="1046"/>
      <c r="Q155" s="847">
        <v>41748512.909999996</v>
      </c>
      <c r="R155" s="847">
        <v>0</v>
      </c>
      <c r="S155" s="847">
        <v>0</v>
      </c>
    </row>
    <row r="156" spans="1:19">
      <c r="A156" s="1076">
        <f t="shared" si="36"/>
        <v>9.7099999999999849</v>
      </c>
      <c r="B156" s="847" t="s">
        <v>1372</v>
      </c>
      <c r="C156" s="1046">
        <f t="shared" si="51"/>
        <v>0</v>
      </c>
      <c r="D156" s="1046">
        <f t="shared" si="52"/>
        <v>8383063.29</v>
      </c>
      <c r="E156" s="1046"/>
      <c r="F156" s="1046"/>
      <c r="G156" s="1046">
        <f t="shared" si="53"/>
        <v>4191532</v>
      </c>
      <c r="H156" s="1046"/>
      <c r="I156" s="1046">
        <f t="shared" si="54"/>
        <v>4191531.645</v>
      </c>
      <c r="J156" s="1046">
        <f t="shared" si="55"/>
        <v>0</v>
      </c>
      <c r="K156" s="1046">
        <f t="shared" si="56"/>
        <v>0</v>
      </c>
      <c r="L156" s="1046"/>
      <c r="M156" s="847">
        <v>0</v>
      </c>
      <c r="N156" s="847">
        <v>0</v>
      </c>
      <c r="O156" s="847">
        <v>0</v>
      </c>
      <c r="P156" s="1046"/>
      <c r="Q156" s="847">
        <v>8383063.29</v>
      </c>
      <c r="R156" s="847">
        <v>0</v>
      </c>
      <c r="S156" s="847">
        <v>0</v>
      </c>
    </row>
    <row r="157" spans="1:19">
      <c r="A157" s="1076">
        <f t="shared" si="36"/>
        <v>9.7199999999999847</v>
      </c>
      <c r="B157" s="847" t="s">
        <v>1123</v>
      </c>
      <c r="C157" s="1046">
        <f t="shared" si="34"/>
        <v>0</v>
      </c>
      <c r="D157" s="1046">
        <f t="shared" ref="D157:D185" si="63">SUM(Q157:S157)</f>
        <v>0</v>
      </c>
      <c r="E157" s="1046"/>
      <c r="F157" s="1046"/>
      <c r="G157" s="1046">
        <f t="shared" si="49"/>
        <v>0</v>
      </c>
      <c r="H157" s="1046"/>
      <c r="I157" s="1046">
        <f t="shared" si="50"/>
        <v>0</v>
      </c>
      <c r="J157" s="1046">
        <f t="shared" si="50"/>
        <v>0</v>
      </c>
      <c r="K157" s="1046">
        <f t="shared" si="50"/>
        <v>0</v>
      </c>
      <c r="L157" s="1046"/>
      <c r="M157" s="847">
        <v>0</v>
      </c>
      <c r="N157" s="847">
        <v>0</v>
      </c>
      <c r="O157" s="847">
        <v>0</v>
      </c>
      <c r="P157" s="1046"/>
      <c r="Q157" s="847">
        <v>0</v>
      </c>
      <c r="R157" s="847">
        <v>0</v>
      </c>
      <c r="S157" s="847">
        <v>0</v>
      </c>
    </row>
    <row r="158" spans="1:19">
      <c r="A158" s="1076">
        <f t="shared" si="36"/>
        <v>9.7299999999999844</v>
      </c>
      <c r="B158" s="847" t="s">
        <v>1124</v>
      </c>
      <c r="C158" s="1050">
        <f t="shared" ref="C158:C185" si="64">SUM(M158:O158)</f>
        <v>6323027.8399999999</v>
      </c>
      <c r="D158" s="1050">
        <f t="shared" si="63"/>
        <v>6249386.96</v>
      </c>
      <c r="E158" s="1050"/>
      <c r="F158" s="1050"/>
      <c r="G158" s="1050">
        <f t="shared" si="49"/>
        <v>6286207</v>
      </c>
      <c r="H158" s="1050"/>
      <c r="I158" s="1050">
        <f t="shared" si="50"/>
        <v>6286207.4000000004</v>
      </c>
      <c r="J158" s="1050">
        <f t="shared" si="50"/>
        <v>0</v>
      </c>
      <c r="K158" s="1050">
        <f t="shared" si="50"/>
        <v>0</v>
      </c>
      <c r="L158" s="1050"/>
      <c r="M158" s="847">
        <v>6323027.8399999999</v>
      </c>
      <c r="N158" s="847">
        <v>0</v>
      </c>
      <c r="O158" s="847">
        <v>0</v>
      </c>
      <c r="P158" s="1050"/>
      <c r="Q158" s="847">
        <v>6249386.96</v>
      </c>
      <c r="R158" s="847">
        <v>0</v>
      </c>
      <c r="S158" s="847">
        <v>0</v>
      </c>
    </row>
    <row r="159" spans="1:19">
      <c r="A159" s="1076">
        <f t="shared" ref="A159" si="65">A158+0.01</f>
        <v>9.7399999999999842</v>
      </c>
      <c r="B159" s="847" t="s">
        <v>1125</v>
      </c>
      <c r="C159" s="1046">
        <f t="shared" si="64"/>
        <v>10585933.02</v>
      </c>
      <c r="D159" s="1046">
        <f t="shared" si="63"/>
        <v>10127723.84</v>
      </c>
      <c r="E159" s="1046"/>
      <c r="F159" s="1046"/>
      <c r="G159" s="1046">
        <f t="shared" si="49"/>
        <v>10356828</v>
      </c>
      <c r="H159" s="1046"/>
      <c r="I159" s="1046">
        <f t="shared" si="50"/>
        <v>10356828.43</v>
      </c>
      <c r="J159" s="1046">
        <f t="shared" si="50"/>
        <v>0</v>
      </c>
      <c r="K159" s="1046">
        <f t="shared" si="50"/>
        <v>0</v>
      </c>
      <c r="L159" s="1046"/>
      <c r="M159" s="847">
        <v>10585933.02</v>
      </c>
      <c r="N159" s="847">
        <v>0</v>
      </c>
      <c r="O159" s="847">
        <v>0</v>
      </c>
      <c r="P159" s="1046"/>
      <c r="Q159" s="847">
        <v>10127723.84</v>
      </c>
      <c r="R159" s="847">
        <v>0</v>
      </c>
      <c r="S159" s="847">
        <v>0</v>
      </c>
    </row>
    <row r="160" spans="1:19">
      <c r="A160" s="1076">
        <f t="shared" ref="A160:A195" si="66">A159+0.01</f>
        <v>9.749999999999984</v>
      </c>
      <c r="B160" s="847" t="s">
        <v>1126</v>
      </c>
      <c r="C160" s="1046">
        <f t="shared" si="64"/>
        <v>-0.27</v>
      </c>
      <c r="D160" s="1046">
        <f t="shared" si="63"/>
        <v>-0.27</v>
      </c>
      <c r="E160" s="1046"/>
      <c r="F160" s="1046"/>
      <c r="G160" s="1046">
        <f t="shared" si="49"/>
        <v>0</v>
      </c>
      <c r="H160" s="1046"/>
      <c r="I160" s="1046">
        <f t="shared" si="50"/>
        <v>-0.27</v>
      </c>
      <c r="J160" s="1046">
        <f t="shared" si="50"/>
        <v>0</v>
      </c>
      <c r="K160" s="1046">
        <f t="shared" si="50"/>
        <v>0</v>
      </c>
      <c r="L160" s="1046"/>
      <c r="M160" s="847">
        <v>-0.27</v>
      </c>
      <c r="N160" s="847">
        <v>0</v>
      </c>
      <c r="O160" s="847">
        <v>0</v>
      </c>
      <c r="P160" s="1046"/>
      <c r="Q160" s="847">
        <v>-0.27</v>
      </c>
      <c r="R160" s="847">
        <v>0</v>
      </c>
      <c r="S160" s="847">
        <v>0</v>
      </c>
    </row>
    <row r="161" spans="1:19">
      <c r="A161" s="1076">
        <f t="shared" si="66"/>
        <v>9.7599999999999838</v>
      </c>
      <c r="B161" s="847" t="s">
        <v>1127</v>
      </c>
      <c r="C161" s="1046">
        <f t="shared" si="64"/>
        <v>1826291.91</v>
      </c>
      <c r="D161" s="1046">
        <f t="shared" si="63"/>
        <v>1730002.91</v>
      </c>
      <c r="E161" s="1046"/>
      <c r="F161" s="1046"/>
      <c r="G161" s="1046">
        <f t="shared" si="49"/>
        <v>1778147</v>
      </c>
      <c r="H161" s="1046"/>
      <c r="I161" s="1046">
        <f t="shared" si="50"/>
        <v>1778147.41</v>
      </c>
      <c r="J161" s="1046">
        <f t="shared" si="50"/>
        <v>0</v>
      </c>
      <c r="K161" s="1046">
        <f t="shared" si="50"/>
        <v>0</v>
      </c>
      <c r="L161" s="1046"/>
      <c r="M161" s="847">
        <v>1826291.91</v>
      </c>
      <c r="N161" s="847">
        <v>0</v>
      </c>
      <c r="O161" s="847">
        <v>0</v>
      </c>
      <c r="P161" s="1046"/>
      <c r="Q161" s="847">
        <v>1730002.91</v>
      </c>
      <c r="R161" s="847">
        <v>0</v>
      </c>
      <c r="S161" s="847">
        <v>0</v>
      </c>
    </row>
    <row r="162" spans="1:19">
      <c r="A162" s="1076">
        <f t="shared" si="66"/>
        <v>9.7699999999999836</v>
      </c>
      <c r="B162" s="847" t="s">
        <v>1128</v>
      </c>
      <c r="C162" s="1046">
        <f>SUM(M162:O162)</f>
        <v>4775876.9400000004</v>
      </c>
      <c r="D162" s="1046">
        <f t="shared" si="63"/>
        <v>4547758.22</v>
      </c>
      <c r="E162" s="1046"/>
      <c r="F162" s="1046"/>
      <c r="G162" s="1046">
        <f t="shared" si="49"/>
        <v>4661818</v>
      </c>
      <c r="H162" s="1046"/>
      <c r="I162" s="1046">
        <f t="shared" si="50"/>
        <v>4661817.58</v>
      </c>
      <c r="J162" s="1046">
        <f t="shared" si="50"/>
        <v>0</v>
      </c>
      <c r="K162" s="1046">
        <f t="shared" si="50"/>
        <v>0</v>
      </c>
      <c r="L162" s="1046"/>
      <c r="M162" s="847">
        <v>4775876.9400000004</v>
      </c>
      <c r="N162" s="847">
        <v>0</v>
      </c>
      <c r="O162" s="847">
        <v>0</v>
      </c>
      <c r="P162" s="1046"/>
      <c r="Q162" s="847">
        <v>4547758.22</v>
      </c>
      <c r="R162" s="847">
        <v>0</v>
      </c>
      <c r="S162" s="847">
        <v>0</v>
      </c>
    </row>
    <row r="163" spans="1:19">
      <c r="A163" s="1076">
        <f t="shared" si="66"/>
        <v>9.7799999999999834</v>
      </c>
      <c r="B163" s="847" t="s">
        <v>1129</v>
      </c>
      <c r="C163" s="1046">
        <f t="shared" si="64"/>
        <v>951636.06</v>
      </c>
      <c r="D163" s="1046">
        <f t="shared" si="63"/>
        <v>915185.57</v>
      </c>
      <c r="E163" s="1046"/>
      <c r="F163" s="1046"/>
      <c r="G163" s="1046">
        <f t="shared" si="49"/>
        <v>933411</v>
      </c>
      <c r="H163" s="1046"/>
      <c r="I163" s="1046">
        <f t="shared" si="50"/>
        <v>933410.81499999994</v>
      </c>
      <c r="J163" s="1046">
        <f t="shared" si="50"/>
        <v>0</v>
      </c>
      <c r="K163" s="1046">
        <f t="shared" si="50"/>
        <v>0</v>
      </c>
      <c r="L163" s="1046"/>
      <c r="M163" s="847">
        <v>951636.06</v>
      </c>
      <c r="N163" s="847">
        <v>0</v>
      </c>
      <c r="O163" s="847">
        <v>0</v>
      </c>
      <c r="P163" s="1046"/>
      <c r="Q163" s="847">
        <v>915185.57</v>
      </c>
      <c r="R163" s="847">
        <v>0</v>
      </c>
      <c r="S163" s="847">
        <v>0</v>
      </c>
    </row>
    <row r="164" spans="1:19">
      <c r="A164" s="1076">
        <f t="shared" si="66"/>
        <v>9.7899999999999832</v>
      </c>
      <c r="B164" s="847" t="s">
        <v>1130</v>
      </c>
      <c r="C164" s="1046">
        <f>SUM(M164:O164)</f>
        <v>99141.79</v>
      </c>
      <c r="D164" s="1046">
        <f t="shared" si="63"/>
        <v>91513.75</v>
      </c>
      <c r="E164" s="1046"/>
      <c r="F164" s="1046"/>
      <c r="G164" s="1046">
        <f t="shared" si="49"/>
        <v>95328</v>
      </c>
      <c r="H164" s="1046"/>
      <c r="I164" s="1046">
        <f t="shared" si="50"/>
        <v>95327.76999999999</v>
      </c>
      <c r="J164" s="1046">
        <f t="shared" si="50"/>
        <v>0</v>
      </c>
      <c r="K164" s="1046">
        <f t="shared" si="50"/>
        <v>0</v>
      </c>
      <c r="L164" s="1046"/>
      <c r="M164" s="847">
        <v>99141.79</v>
      </c>
      <c r="N164" s="847">
        <v>0</v>
      </c>
      <c r="O164" s="847">
        <v>0</v>
      </c>
      <c r="P164" s="1046"/>
      <c r="Q164" s="847">
        <v>91513.75</v>
      </c>
      <c r="R164" s="847">
        <v>0</v>
      </c>
      <c r="S164" s="847">
        <v>0</v>
      </c>
    </row>
    <row r="165" spans="1:19">
      <c r="A165" s="1076">
        <f t="shared" si="66"/>
        <v>9.7999999999999829</v>
      </c>
      <c r="B165" s="847" t="s">
        <v>1131</v>
      </c>
      <c r="C165" s="1046">
        <f>SUM(M165:O165)</f>
        <v>69125.03</v>
      </c>
      <c r="D165" s="1046">
        <f t="shared" si="63"/>
        <v>-0.01</v>
      </c>
      <c r="E165" s="1046"/>
      <c r="F165" s="1046"/>
      <c r="G165" s="1046">
        <f t="shared" si="49"/>
        <v>34563</v>
      </c>
      <c r="H165" s="1046"/>
      <c r="I165" s="1046">
        <f t="shared" si="50"/>
        <v>0</v>
      </c>
      <c r="J165" s="1046">
        <f t="shared" si="50"/>
        <v>0</v>
      </c>
      <c r="K165" s="1046">
        <f t="shared" si="50"/>
        <v>34562.51</v>
      </c>
      <c r="L165" s="1046"/>
      <c r="M165" s="847">
        <v>0</v>
      </c>
      <c r="N165" s="847">
        <v>0</v>
      </c>
      <c r="O165" s="847">
        <v>69125.03</v>
      </c>
      <c r="P165" s="1046"/>
      <c r="Q165" s="847">
        <v>0</v>
      </c>
      <c r="R165" s="847">
        <v>0</v>
      </c>
      <c r="S165" s="847">
        <v>-0.01</v>
      </c>
    </row>
    <row r="166" spans="1:19">
      <c r="A166" s="1076">
        <f t="shared" si="66"/>
        <v>9.8099999999999827</v>
      </c>
      <c r="B166" s="847" t="s">
        <v>1132</v>
      </c>
      <c r="C166" s="1046">
        <f>SUM(M166:O166)</f>
        <v>0.01</v>
      </c>
      <c r="D166" s="1046">
        <f t="shared" si="63"/>
        <v>0.01</v>
      </c>
      <c r="E166" s="1046"/>
      <c r="F166" s="1046"/>
      <c r="G166" s="1046">
        <f t="shared" si="49"/>
        <v>0</v>
      </c>
      <c r="H166" s="1046"/>
      <c r="I166" s="1046">
        <f t="shared" si="50"/>
        <v>0</v>
      </c>
      <c r="J166" s="1046">
        <f t="shared" si="50"/>
        <v>0</v>
      </c>
      <c r="K166" s="1046">
        <f t="shared" si="50"/>
        <v>0.01</v>
      </c>
      <c r="L166" s="1046"/>
      <c r="M166" s="847">
        <v>0</v>
      </c>
      <c r="N166" s="847">
        <v>0</v>
      </c>
      <c r="O166" s="847">
        <v>0.01</v>
      </c>
      <c r="P166" s="1046"/>
      <c r="Q166" s="847">
        <v>0</v>
      </c>
      <c r="R166" s="847">
        <v>0</v>
      </c>
      <c r="S166" s="847">
        <v>0.01</v>
      </c>
    </row>
    <row r="167" spans="1:19">
      <c r="A167" s="1076">
        <f t="shared" si="66"/>
        <v>9.8199999999999825</v>
      </c>
      <c r="B167" s="847" t="s">
        <v>1133</v>
      </c>
      <c r="C167" s="1046">
        <f>SUM(M167:O167)</f>
        <v>0</v>
      </c>
      <c r="D167" s="1046">
        <f t="shared" si="63"/>
        <v>0</v>
      </c>
      <c r="E167" s="1046"/>
      <c r="F167" s="1046"/>
      <c r="G167" s="1046">
        <f t="shared" si="49"/>
        <v>0</v>
      </c>
      <c r="H167" s="1046"/>
      <c r="I167" s="1046">
        <f t="shared" si="50"/>
        <v>0</v>
      </c>
      <c r="J167" s="1046">
        <f t="shared" si="50"/>
        <v>0</v>
      </c>
      <c r="K167" s="1046">
        <f t="shared" si="50"/>
        <v>0</v>
      </c>
      <c r="L167" s="1046"/>
      <c r="M167" s="847">
        <v>0</v>
      </c>
      <c r="N167" s="847">
        <v>0</v>
      </c>
      <c r="O167" s="847">
        <v>0</v>
      </c>
      <c r="P167" s="1046"/>
      <c r="Q167" s="847">
        <v>0</v>
      </c>
      <c r="R167" s="847">
        <v>0</v>
      </c>
      <c r="S167" s="847">
        <v>0</v>
      </c>
    </row>
    <row r="168" spans="1:19">
      <c r="A168" s="1076">
        <f t="shared" si="66"/>
        <v>9.8299999999999823</v>
      </c>
      <c r="B168" s="847" t="s">
        <v>1134</v>
      </c>
      <c r="C168" s="1046">
        <f t="shared" si="64"/>
        <v>119881.71</v>
      </c>
      <c r="D168" s="1046">
        <f t="shared" si="63"/>
        <v>119881.71</v>
      </c>
      <c r="E168" s="1046"/>
      <c r="F168" s="1046"/>
      <c r="G168" s="1046">
        <f t="shared" si="49"/>
        <v>119882</v>
      </c>
      <c r="H168" s="1046"/>
      <c r="I168" s="1046">
        <f t="shared" si="50"/>
        <v>0</v>
      </c>
      <c r="J168" s="1046">
        <f t="shared" si="50"/>
        <v>0</v>
      </c>
      <c r="K168" s="1046">
        <f t="shared" si="50"/>
        <v>119881.71</v>
      </c>
      <c r="L168" s="1046"/>
      <c r="M168" s="847">
        <v>0</v>
      </c>
      <c r="N168" s="847">
        <v>0</v>
      </c>
      <c r="O168" s="847">
        <v>119881.71</v>
      </c>
      <c r="P168" s="1046"/>
      <c r="Q168" s="847">
        <v>0</v>
      </c>
      <c r="R168" s="847">
        <v>0</v>
      </c>
      <c r="S168" s="847">
        <v>119881.71</v>
      </c>
    </row>
    <row r="169" spans="1:19">
      <c r="A169" s="1076">
        <f t="shared" si="66"/>
        <v>9.8399999999999821</v>
      </c>
      <c r="B169" s="847" t="s">
        <v>1135</v>
      </c>
      <c r="C169" s="1046">
        <f t="shared" si="64"/>
        <v>0</v>
      </c>
      <c r="D169" s="1046">
        <f t="shared" si="63"/>
        <v>0</v>
      </c>
      <c r="E169" s="1046"/>
      <c r="F169" s="1046"/>
      <c r="G169" s="1046">
        <f t="shared" si="49"/>
        <v>0</v>
      </c>
      <c r="H169" s="1046"/>
      <c r="I169" s="1046">
        <f t="shared" si="50"/>
        <v>0</v>
      </c>
      <c r="J169" s="1046">
        <f t="shared" si="50"/>
        <v>0</v>
      </c>
      <c r="K169" s="1046">
        <f t="shared" si="50"/>
        <v>0</v>
      </c>
      <c r="L169" s="1046"/>
      <c r="M169" s="847">
        <v>0</v>
      </c>
      <c r="N169" s="847">
        <v>0</v>
      </c>
      <c r="O169" s="847">
        <v>0</v>
      </c>
      <c r="P169" s="1046"/>
      <c r="Q169" s="847">
        <v>0</v>
      </c>
      <c r="R169" s="847">
        <v>0</v>
      </c>
      <c r="S169" s="847">
        <v>0</v>
      </c>
    </row>
    <row r="170" spans="1:19">
      <c r="A170" s="1076">
        <f t="shared" si="66"/>
        <v>9.8499999999999819</v>
      </c>
      <c r="B170" s="847" t="s">
        <v>1136</v>
      </c>
      <c r="C170" s="1046">
        <f t="shared" si="64"/>
        <v>0</v>
      </c>
      <c r="D170" s="1046">
        <f t="shared" si="63"/>
        <v>0</v>
      </c>
      <c r="E170" s="1046"/>
      <c r="F170" s="1046"/>
      <c r="G170" s="1046">
        <f t="shared" si="49"/>
        <v>0</v>
      </c>
      <c r="H170" s="1046"/>
      <c r="I170" s="1046">
        <f t="shared" si="50"/>
        <v>0</v>
      </c>
      <c r="J170" s="1046">
        <f t="shared" si="50"/>
        <v>0</v>
      </c>
      <c r="K170" s="1046">
        <f t="shared" si="50"/>
        <v>0</v>
      </c>
      <c r="L170" s="1046"/>
      <c r="M170" s="847">
        <v>0</v>
      </c>
      <c r="N170" s="847">
        <v>0</v>
      </c>
      <c r="O170" s="847">
        <v>0</v>
      </c>
      <c r="P170" s="1046"/>
      <c r="Q170" s="847">
        <v>0</v>
      </c>
      <c r="R170" s="847">
        <v>0</v>
      </c>
      <c r="S170" s="847">
        <v>0</v>
      </c>
    </row>
    <row r="171" spans="1:19">
      <c r="A171" s="1076">
        <f t="shared" si="66"/>
        <v>9.8599999999999817</v>
      </c>
      <c r="B171" s="847" t="s">
        <v>1137</v>
      </c>
      <c r="C171" s="1046">
        <f t="shared" si="64"/>
        <v>34647.22</v>
      </c>
      <c r="D171" s="1046">
        <f t="shared" si="63"/>
        <v>34647.22</v>
      </c>
      <c r="E171" s="1046"/>
      <c r="F171" s="1046"/>
      <c r="G171" s="1046">
        <f t="shared" si="49"/>
        <v>34647</v>
      </c>
      <c r="H171" s="1046"/>
      <c r="I171" s="1046">
        <f t="shared" si="50"/>
        <v>0</v>
      </c>
      <c r="J171" s="1046">
        <f t="shared" si="50"/>
        <v>0</v>
      </c>
      <c r="K171" s="1046">
        <f t="shared" si="50"/>
        <v>34647.22</v>
      </c>
      <c r="L171" s="1046"/>
      <c r="M171" s="847">
        <v>0</v>
      </c>
      <c r="N171" s="847">
        <v>0</v>
      </c>
      <c r="O171" s="847">
        <v>34647.22</v>
      </c>
      <c r="P171" s="1046"/>
      <c r="Q171" s="847">
        <v>0</v>
      </c>
      <c r="R171" s="847">
        <v>0</v>
      </c>
      <c r="S171" s="847">
        <v>34647.22</v>
      </c>
    </row>
    <row r="172" spans="1:19">
      <c r="A172" s="1076">
        <f t="shared" si="66"/>
        <v>9.8699999999999815</v>
      </c>
      <c r="B172" s="847" t="s">
        <v>1376</v>
      </c>
      <c r="C172" s="1046">
        <f t="shared" si="64"/>
        <v>0</v>
      </c>
      <c r="D172" s="1046">
        <f t="shared" si="63"/>
        <v>1224.82</v>
      </c>
      <c r="E172" s="1046"/>
      <c r="F172" s="1046"/>
      <c r="G172" s="1046">
        <f t="shared" si="49"/>
        <v>612</v>
      </c>
      <c r="H172" s="1046"/>
      <c r="I172" s="1046">
        <f t="shared" si="50"/>
        <v>0</v>
      </c>
      <c r="J172" s="1046">
        <f t="shared" si="50"/>
        <v>0</v>
      </c>
      <c r="K172" s="1046">
        <f t="shared" si="50"/>
        <v>612.41</v>
      </c>
      <c r="L172" s="1046"/>
      <c r="M172" s="847">
        <v>0</v>
      </c>
      <c r="N172" s="847">
        <v>0</v>
      </c>
      <c r="O172" s="847">
        <v>0</v>
      </c>
      <c r="P172" s="1046"/>
      <c r="Q172" s="847">
        <v>0</v>
      </c>
      <c r="R172" s="847">
        <v>0</v>
      </c>
      <c r="S172" s="847">
        <v>1224.82</v>
      </c>
    </row>
    <row r="173" spans="1:19">
      <c r="A173" s="1076">
        <f t="shared" si="66"/>
        <v>9.8799999999999812</v>
      </c>
      <c r="B173" s="847" t="s">
        <v>1377</v>
      </c>
      <c r="C173" s="1046">
        <f t="shared" si="64"/>
        <v>0</v>
      </c>
      <c r="D173" s="1046">
        <f t="shared" si="63"/>
        <v>730122.75</v>
      </c>
      <c r="E173" s="1046"/>
      <c r="F173" s="1046"/>
      <c r="G173" s="1046">
        <f t="shared" si="49"/>
        <v>365061</v>
      </c>
      <c r="H173" s="1046"/>
      <c r="I173" s="1046">
        <f t="shared" si="50"/>
        <v>0</v>
      </c>
      <c r="J173" s="1046">
        <f t="shared" si="50"/>
        <v>0</v>
      </c>
      <c r="K173" s="1046">
        <f t="shared" si="50"/>
        <v>365061.375</v>
      </c>
      <c r="L173" s="1046"/>
      <c r="M173" s="847">
        <v>0</v>
      </c>
      <c r="N173" s="847">
        <v>0</v>
      </c>
      <c r="O173" s="847">
        <v>0</v>
      </c>
      <c r="P173" s="1046"/>
      <c r="Q173" s="847">
        <v>0</v>
      </c>
      <c r="R173" s="847">
        <v>0</v>
      </c>
      <c r="S173" s="847">
        <v>730122.75</v>
      </c>
    </row>
    <row r="174" spans="1:19">
      <c r="A174" s="1076">
        <f t="shared" si="66"/>
        <v>9.889999999999981</v>
      </c>
      <c r="B174" s="847" t="s">
        <v>1138</v>
      </c>
      <c r="C174" s="1046">
        <f t="shared" si="64"/>
        <v>229015.05</v>
      </c>
      <c r="D174" s="1046">
        <f t="shared" si="63"/>
        <v>229015.05</v>
      </c>
      <c r="E174" s="1046"/>
      <c r="F174" s="1046"/>
      <c r="G174" s="1046">
        <f t="shared" si="49"/>
        <v>229015</v>
      </c>
      <c r="H174" s="1046"/>
      <c r="I174" s="1046">
        <f t="shared" si="50"/>
        <v>0</v>
      </c>
      <c r="J174" s="1046">
        <f t="shared" si="50"/>
        <v>0</v>
      </c>
      <c r="K174" s="1046">
        <f t="shared" si="50"/>
        <v>229015.05</v>
      </c>
      <c r="L174" s="1046"/>
      <c r="M174" s="847">
        <v>0</v>
      </c>
      <c r="N174" s="847">
        <v>0</v>
      </c>
      <c r="O174" s="847">
        <v>229015.05</v>
      </c>
      <c r="P174" s="1046"/>
      <c r="Q174" s="847">
        <v>0</v>
      </c>
      <c r="R174" s="847">
        <v>0</v>
      </c>
      <c r="S174" s="847">
        <v>229015.05</v>
      </c>
    </row>
    <row r="175" spans="1:19">
      <c r="A175" s="1076">
        <f t="shared" si="66"/>
        <v>9.8999999999999808</v>
      </c>
      <c r="B175" s="847" t="s">
        <v>1139</v>
      </c>
      <c r="C175" s="1046">
        <f>SUM(M175:O175)</f>
        <v>0</v>
      </c>
      <c r="D175" s="1046">
        <f t="shared" si="63"/>
        <v>0</v>
      </c>
      <c r="E175" s="1046"/>
      <c r="F175" s="1046"/>
      <c r="G175" s="1046">
        <f t="shared" si="49"/>
        <v>0</v>
      </c>
      <c r="H175" s="1046"/>
      <c r="I175" s="1046">
        <f t="shared" ref="I175:K185" si="67">(M175+Q175)/2</f>
        <v>0</v>
      </c>
      <c r="J175" s="1046">
        <f t="shared" si="67"/>
        <v>0</v>
      </c>
      <c r="K175" s="1046">
        <f t="shared" si="67"/>
        <v>0</v>
      </c>
      <c r="L175" s="1046"/>
      <c r="M175" s="847">
        <v>0</v>
      </c>
      <c r="N175" s="847">
        <v>0</v>
      </c>
      <c r="O175" s="847">
        <v>0</v>
      </c>
      <c r="P175" s="1046"/>
      <c r="Q175" s="847">
        <v>0</v>
      </c>
      <c r="R175" s="847">
        <v>0</v>
      </c>
      <c r="S175" s="847">
        <v>0</v>
      </c>
    </row>
    <row r="176" spans="1:19">
      <c r="A176" s="1076">
        <f t="shared" si="66"/>
        <v>9.9099999999999806</v>
      </c>
      <c r="B176" s="847" t="s">
        <v>1140</v>
      </c>
      <c r="C176" s="1046">
        <f>SUM(M176:O176)</f>
        <v>0</v>
      </c>
      <c r="D176" s="1046">
        <f t="shared" si="63"/>
        <v>0</v>
      </c>
      <c r="E176" s="1046"/>
      <c r="F176" s="1046"/>
      <c r="G176" s="1046">
        <f t="shared" si="49"/>
        <v>0</v>
      </c>
      <c r="H176" s="1046"/>
      <c r="I176" s="1046">
        <f t="shared" si="67"/>
        <v>0</v>
      </c>
      <c r="J176" s="1046">
        <f t="shared" si="67"/>
        <v>0</v>
      </c>
      <c r="K176" s="1046">
        <f t="shared" si="67"/>
        <v>0</v>
      </c>
      <c r="L176" s="1046"/>
      <c r="M176" s="847">
        <v>0</v>
      </c>
      <c r="N176" s="847">
        <v>0</v>
      </c>
      <c r="O176" s="847">
        <v>0</v>
      </c>
      <c r="P176" s="1046"/>
      <c r="Q176" s="847">
        <v>0</v>
      </c>
      <c r="R176" s="847">
        <v>0</v>
      </c>
      <c r="S176" s="847">
        <v>0</v>
      </c>
    </row>
    <row r="177" spans="1:19">
      <c r="A177" s="1076">
        <f t="shared" si="66"/>
        <v>9.9199999999999804</v>
      </c>
      <c r="B177" s="847" t="s">
        <v>1141</v>
      </c>
      <c r="C177" s="1046">
        <f>SUM(M177:O177)</f>
        <v>1180358.96</v>
      </c>
      <c r="D177" s="1046">
        <f t="shared" si="63"/>
        <v>987241.3</v>
      </c>
      <c r="E177" s="1046"/>
      <c r="F177" s="1046"/>
      <c r="G177" s="1046">
        <f t="shared" si="49"/>
        <v>1083800</v>
      </c>
      <c r="H177" s="1046"/>
      <c r="I177" s="1046">
        <f t="shared" si="67"/>
        <v>0</v>
      </c>
      <c r="J177" s="1046">
        <f t="shared" si="67"/>
        <v>0</v>
      </c>
      <c r="K177" s="1046">
        <f t="shared" si="67"/>
        <v>1083800.1299999999</v>
      </c>
      <c r="L177" s="1046"/>
      <c r="M177" s="847">
        <v>0</v>
      </c>
      <c r="N177" s="847">
        <v>0</v>
      </c>
      <c r="O177" s="847">
        <v>1180358.96</v>
      </c>
      <c r="P177" s="1046"/>
      <c r="Q177" s="847">
        <v>0</v>
      </c>
      <c r="R177" s="847">
        <v>0</v>
      </c>
      <c r="S177" s="847">
        <v>987241.3</v>
      </c>
    </row>
    <row r="178" spans="1:19">
      <c r="A178" s="1076">
        <f t="shared" si="66"/>
        <v>9.9299999999999802</v>
      </c>
      <c r="B178" s="847" t="s">
        <v>1375</v>
      </c>
      <c r="C178" s="1046">
        <f>SUM(M178:O178)</f>
        <v>0</v>
      </c>
      <c r="D178" s="1046">
        <f t="shared" si="63"/>
        <v>18334.55</v>
      </c>
      <c r="E178" s="1046"/>
      <c r="F178" s="1046"/>
      <c r="G178" s="1046">
        <f t="shared" si="49"/>
        <v>9167</v>
      </c>
      <c r="H178" s="1046"/>
      <c r="I178" s="1046">
        <f t="shared" si="67"/>
        <v>0</v>
      </c>
      <c r="J178" s="1046">
        <f t="shared" si="67"/>
        <v>0</v>
      </c>
      <c r="K178" s="1046">
        <f t="shared" si="67"/>
        <v>9167.2749999999996</v>
      </c>
      <c r="L178" s="1046"/>
      <c r="M178" s="847">
        <v>0</v>
      </c>
      <c r="N178" s="847">
        <v>0</v>
      </c>
      <c r="O178" s="847">
        <v>0</v>
      </c>
      <c r="P178" s="1046"/>
      <c r="Q178" s="847">
        <v>0</v>
      </c>
      <c r="R178" s="847">
        <v>0</v>
      </c>
      <c r="S178" s="847">
        <v>18334.55</v>
      </c>
    </row>
    <row r="179" spans="1:19">
      <c r="A179" s="1076">
        <f t="shared" si="66"/>
        <v>9.93999999999998</v>
      </c>
      <c r="B179" s="847" t="s">
        <v>1142</v>
      </c>
      <c r="C179" s="1046">
        <f t="shared" si="64"/>
        <v>0</v>
      </c>
      <c r="D179" s="1046">
        <f t="shared" si="63"/>
        <v>0</v>
      </c>
      <c r="E179" s="1046"/>
      <c r="F179" s="1046"/>
      <c r="G179" s="1046">
        <f t="shared" si="49"/>
        <v>0</v>
      </c>
      <c r="H179" s="1046"/>
      <c r="I179" s="1046">
        <f t="shared" si="67"/>
        <v>0</v>
      </c>
      <c r="J179" s="1046">
        <f t="shared" si="67"/>
        <v>0</v>
      </c>
      <c r="K179" s="1046">
        <f t="shared" si="67"/>
        <v>0</v>
      </c>
      <c r="L179" s="1046"/>
      <c r="M179" s="847">
        <v>0</v>
      </c>
      <c r="N179" s="847">
        <v>0</v>
      </c>
      <c r="O179" s="847">
        <v>0</v>
      </c>
      <c r="P179" s="1046"/>
      <c r="Q179" s="847">
        <v>0</v>
      </c>
      <c r="R179" s="847">
        <v>0</v>
      </c>
      <c r="S179" s="847">
        <v>0</v>
      </c>
    </row>
    <row r="180" spans="1:19">
      <c r="A180" s="1076">
        <f t="shared" si="66"/>
        <v>9.9499999999999797</v>
      </c>
      <c r="B180" s="847" t="s">
        <v>1143</v>
      </c>
      <c r="C180" s="1046">
        <f t="shared" si="64"/>
        <v>0</v>
      </c>
      <c r="D180" s="1046">
        <f t="shared" si="63"/>
        <v>0</v>
      </c>
      <c r="E180" s="1046"/>
      <c r="F180" s="1046"/>
      <c r="G180" s="1046">
        <f t="shared" si="49"/>
        <v>0</v>
      </c>
      <c r="H180" s="1046"/>
      <c r="I180" s="1046">
        <f t="shared" si="67"/>
        <v>0</v>
      </c>
      <c r="J180" s="1046">
        <f t="shared" si="67"/>
        <v>0</v>
      </c>
      <c r="K180" s="1046">
        <f t="shared" si="67"/>
        <v>0</v>
      </c>
      <c r="L180" s="1046"/>
      <c r="M180" s="847">
        <v>0</v>
      </c>
      <c r="N180" s="847">
        <v>0</v>
      </c>
      <c r="O180" s="847">
        <v>0</v>
      </c>
      <c r="P180" s="1046"/>
      <c r="Q180" s="847">
        <v>0</v>
      </c>
      <c r="R180" s="847">
        <v>0</v>
      </c>
      <c r="S180" s="847">
        <v>0</v>
      </c>
    </row>
    <row r="181" spans="1:19">
      <c r="A181" s="1076">
        <f t="shared" si="66"/>
        <v>9.9599999999999795</v>
      </c>
      <c r="B181" s="847" t="s">
        <v>1144</v>
      </c>
      <c r="C181" s="1046">
        <f t="shared" si="64"/>
        <v>5097146.25</v>
      </c>
      <c r="D181" s="1046">
        <f t="shared" si="63"/>
        <v>3379300.47</v>
      </c>
      <c r="E181" s="1046"/>
      <c r="F181" s="1046"/>
      <c r="G181" s="1046">
        <f t="shared" si="49"/>
        <v>4238223</v>
      </c>
      <c r="H181" s="1046"/>
      <c r="I181" s="1046">
        <f t="shared" si="67"/>
        <v>4119785.88</v>
      </c>
      <c r="J181" s="1046">
        <f t="shared" si="67"/>
        <v>159597.06</v>
      </c>
      <c r="K181" s="1046">
        <f t="shared" si="67"/>
        <v>-41159.580000000016</v>
      </c>
      <c r="L181" s="1046"/>
      <c r="M181" s="847">
        <v>4433647.8899999997</v>
      </c>
      <c r="N181" s="847">
        <v>177990.96</v>
      </c>
      <c r="O181" s="847">
        <v>485507.4</v>
      </c>
      <c r="P181" s="1046"/>
      <c r="Q181" s="847">
        <v>3805923.87</v>
      </c>
      <c r="R181" s="847">
        <v>141203.16</v>
      </c>
      <c r="S181" s="847">
        <v>-567826.56000000006</v>
      </c>
    </row>
    <row r="182" spans="1:19">
      <c r="A182" s="1076">
        <f t="shared" si="66"/>
        <v>9.9699999999999793</v>
      </c>
      <c r="B182" s="847" t="s">
        <v>1145</v>
      </c>
      <c r="C182" s="1046">
        <f t="shared" si="64"/>
        <v>22682473.530000001</v>
      </c>
      <c r="D182" s="1046">
        <f t="shared" si="63"/>
        <v>25967911.77</v>
      </c>
      <c r="E182" s="1046"/>
      <c r="F182" s="1046"/>
      <c r="G182" s="1046">
        <f t="shared" si="49"/>
        <v>24325193</v>
      </c>
      <c r="H182" s="1046"/>
      <c r="I182" s="1046">
        <f t="shared" si="67"/>
        <v>8057005.4199999999</v>
      </c>
      <c r="J182" s="1046">
        <f t="shared" si="67"/>
        <v>4926008.1849999996</v>
      </c>
      <c r="K182" s="1046">
        <f t="shared" si="67"/>
        <v>11342179.045</v>
      </c>
      <c r="L182" s="1046"/>
      <c r="M182" s="847">
        <v>7383715.3899999997</v>
      </c>
      <c r="N182" s="847">
        <v>4572124.2699999996</v>
      </c>
      <c r="O182" s="847">
        <v>10726633.869999999</v>
      </c>
      <c r="P182" s="1046"/>
      <c r="Q182" s="847">
        <v>8730295.4499999993</v>
      </c>
      <c r="R182" s="847">
        <v>5279892.0999999996</v>
      </c>
      <c r="S182" s="847">
        <v>11957724.220000001</v>
      </c>
    </row>
    <row r="183" spans="1:19">
      <c r="A183" s="1076">
        <f t="shared" si="66"/>
        <v>9.9799999999999791</v>
      </c>
      <c r="B183" s="847" t="s">
        <v>1146</v>
      </c>
      <c r="C183" s="1046">
        <f t="shared" si="64"/>
        <v>17945037.609999999</v>
      </c>
      <c r="D183" s="1046">
        <f t="shared" si="63"/>
        <v>17232605.84</v>
      </c>
      <c r="E183" s="1046"/>
      <c r="F183" s="1046"/>
      <c r="G183" s="1046">
        <f>ROUND(SUM(C183:F183)/2,0)</f>
        <v>17588822</v>
      </c>
      <c r="H183" s="1046"/>
      <c r="I183" s="1046">
        <f t="shared" si="67"/>
        <v>8626794.4550000001</v>
      </c>
      <c r="J183" s="1046">
        <f t="shared" si="67"/>
        <v>3596949.0750000002</v>
      </c>
      <c r="K183" s="1046">
        <f t="shared" si="67"/>
        <v>5365078.1950000003</v>
      </c>
      <c r="L183" s="1046"/>
      <c r="M183" s="847">
        <v>8784770.9100000001</v>
      </c>
      <c r="N183" s="847">
        <v>3675410.83</v>
      </c>
      <c r="O183" s="847">
        <v>5484855.8700000001</v>
      </c>
      <c r="P183" s="1046"/>
      <c r="Q183" s="847">
        <v>8468818</v>
      </c>
      <c r="R183" s="847">
        <v>3518487.32</v>
      </c>
      <c r="S183" s="847">
        <v>5245300.5199999996</v>
      </c>
    </row>
    <row r="184" spans="1:19">
      <c r="A184" s="1076">
        <f t="shared" si="66"/>
        <v>9.9899999999999789</v>
      </c>
      <c r="B184" s="847" t="s">
        <v>1147</v>
      </c>
      <c r="C184" s="1046">
        <f t="shared" si="64"/>
        <v>0</v>
      </c>
      <c r="D184" s="1046">
        <f t="shared" si="63"/>
        <v>0</v>
      </c>
      <c r="E184" s="1046"/>
      <c r="F184" s="1046"/>
      <c r="G184" s="1046">
        <f t="shared" si="49"/>
        <v>0</v>
      </c>
      <c r="H184" s="1046"/>
      <c r="I184" s="1046">
        <f t="shared" si="67"/>
        <v>0</v>
      </c>
      <c r="J184" s="1046">
        <f t="shared" si="67"/>
        <v>0</v>
      </c>
      <c r="K184" s="1046">
        <f t="shared" si="67"/>
        <v>0</v>
      </c>
      <c r="L184" s="1046"/>
      <c r="M184" s="847">
        <v>0</v>
      </c>
      <c r="N184" s="847">
        <v>0</v>
      </c>
      <c r="O184" s="847">
        <v>0</v>
      </c>
      <c r="P184" s="1046"/>
      <c r="Q184" s="847">
        <v>0</v>
      </c>
      <c r="R184" s="847">
        <v>0</v>
      </c>
      <c r="S184" s="847">
        <v>0</v>
      </c>
    </row>
    <row r="185" spans="1:19">
      <c r="A185" s="1076">
        <f t="shared" si="66"/>
        <v>9.9999999999999787</v>
      </c>
      <c r="B185" s="847" t="s">
        <v>1148</v>
      </c>
      <c r="C185" s="1046">
        <f t="shared" si="64"/>
        <v>618259.15</v>
      </c>
      <c r="D185" s="1046">
        <f t="shared" si="63"/>
        <v>494607.31</v>
      </c>
      <c r="E185" s="1046"/>
      <c r="F185" s="1046"/>
      <c r="G185" s="1046">
        <f t="shared" si="49"/>
        <v>556433</v>
      </c>
      <c r="H185" s="1046"/>
      <c r="I185" s="1046">
        <f t="shared" si="67"/>
        <v>230148.35499999998</v>
      </c>
      <c r="J185" s="1046">
        <f t="shared" si="67"/>
        <v>35934.28</v>
      </c>
      <c r="K185" s="1046">
        <f t="shared" si="67"/>
        <v>290350.59499999997</v>
      </c>
      <c r="L185" s="1046"/>
      <c r="M185" s="847">
        <v>255720.41</v>
      </c>
      <c r="N185" s="847">
        <v>39926.980000000003</v>
      </c>
      <c r="O185" s="847">
        <v>322611.76</v>
      </c>
      <c r="P185" s="1046"/>
      <c r="Q185" s="847">
        <v>204576.3</v>
      </c>
      <c r="R185" s="847">
        <v>31941.58</v>
      </c>
      <c r="S185" s="847">
        <v>258089.43</v>
      </c>
    </row>
    <row r="186" spans="1:19">
      <c r="A186" s="1076">
        <f t="shared" si="66"/>
        <v>10.009999999999978</v>
      </c>
      <c r="B186" s="847" t="s">
        <v>1149</v>
      </c>
      <c r="C186" s="1046">
        <f>SUM(M186:O186)</f>
        <v>3614145.75</v>
      </c>
      <c r="D186" s="1046">
        <f>SUM(Q186:S186)</f>
        <v>2842406.04</v>
      </c>
      <c r="E186" s="1046"/>
      <c r="F186" s="1046"/>
      <c r="G186" s="1046">
        <f>ROUND(SUM(C186:F186)/2,0)</f>
        <v>3228276</v>
      </c>
      <c r="H186" s="1046"/>
      <c r="I186" s="1046">
        <f t="shared" ref="I186:K189" si="68">(M186+Q186)/2</f>
        <v>1144633.645</v>
      </c>
      <c r="J186" s="1046">
        <f t="shared" si="68"/>
        <v>102328.58</v>
      </c>
      <c r="K186" s="1046">
        <f t="shared" si="68"/>
        <v>1981313.67</v>
      </c>
      <c r="L186" s="1046"/>
      <c r="M186" s="847">
        <v>1421902.84</v>
      </c>
      <c r="N186" s="847">
        <v>123507.92</v>
      </c>
      <c r="O186" s="847">
        <v>2068734.99</v>
      </c>
      <c r="P186" s="1046"/>
      <c r="Q186" s="847">
        <v>867364.45</v>
      </c>
      <c r="R186" s="847">
        <v>81149.240000000005</v>
      </c>
      <c r="S186" s="847">
        <v>1893892.35</v>
      </c>
    </row>
    <row r="187" spans="1:19">
      <c r="A187" s="1076">
        <f t="shared" si="66"/>
        <v>10.019999999999978</v>
      </c>
      <c r="B187" s="847" t="s">
        <v>1150</v>
      </c>
      <c r="C187" s="1046">
        <f>SUM(M187:O187)</f>
        <v>1067735.1299999999</v>
      </c>
      <c r="D187" s="1046">
        <f>SUM(Q187:S187)</f>
        <v>1067735.1299999999</v>
      </c>
      <c r="E187" s="1046"/>
      <c r="F187" s="1046"/>
      <c r="G187" s="1046">
        <f>ROUND(SUM(C187:F187)/2,0)</f>
        <v>1067735</v>
      </c>
      <c r="H187" s="1046"/>
      <c r="I187" s="1046">
        <f t="shared" si="68"/>
        <v>1067735.1299999999</v>
      </c>
      <c r="J187" s="1046">
        <f t="shared" si="68"/>
        <v>0</v>
      </c>
      <c r="K187" s="1046">
        <f t="shared" si="68"/>
        <v>0</v>
      </c>
      <c r="L187" s="1046"/>
      <c r="M187" s="847">
        <v>1067735.1299999999</v>
      </c>
      <c r="N187" s="847">
        <v>0</v>
      </c>
      <c r="O187" s="847">
        <v>0</v>
      </c>
      <c r="P187" s="1046"/>
      <c r="Q187" s="847">
        <v>1067735.1299999999</v>
      </c>
      <c r="R187" s="847">
        <v>0</v>
      </c>
      <c r="S187" s="847">
        <v>0</v>
      </c>
    </row>
    <row r="188" spans="1:19">
      <c r="A188" s="1076">
        <f t="shared" si="66"/>
        <v>10.029999999999978</v>
      </c>
      <c r="B188" s="847" t="s">
        <v>1419</v>
      </c>
      <c r="C188" s="1046">
        <f>SUM(M188:O188)</f>
        <v>47673648</v>
      </c>
      <c r="D188" s="1046">
        <f>SUM(Q188:S188)</f>
        <v>47673648</v>
      </c>
      <c r="E188" s="1046"/>
      <c r="F188" s="1046"/>
      <c r="G188" s="1046">
        <f>ROUND(SUM(C188:F188)/2,0)</f>
        <v>47673648</v>
      </c>
      <c r="H188" s="1046"/>
      <c r="I188" s="1046"/>
      <c r="J188" s="1046"/>
      <c r="K188" s="1046">
        <f t="shared" si="68"/>
        <v>4099412</v>
      </c>
      <c r="L188" s="1046"/>
      <c r="M188" s="847">
        <v>9766758</v>
      </c>
      <c r="N188" s="847">
        <v>33807478</v>
      </c>
      <c r="O188" s="847">
        <v>4099412</v>
      </c>
      <c r="P188" s="1046"/>
      <c r="Q188" s="847">
        <v>9766758</v>
      </c>
      <c r="R188" s="847">
        <v>33807478</v>
      </c>
      <c r="S188" s="847">
        <v>4099412</v>
      </c>
    </row>
    <row r="189" spans="1:19">
      <c r="A189" s="1076">
        <f t="shared" si="66"/>
        <v>10.039999999999978</v>
      </c>
      <c r="B189" s="847" t="s">
        <v>1057</v>
      </c>
      <c r="C189" s="1046">
        <f>SUM(M189:O189)</f>
        <v>-166491453.98000002</v>
      </c>
      <c r="D189" s="1046">
        <f>SUM(Q189:S189)</f>
        <v>-184349182.30000001</v>
      </c>
      <c r="E189" s="1046"/>
      <c r="F189" s="1046"/>
      <c r="G189" s="1046">
        <f>ROUND(SUM(C189:F189)/2,0)</f>
        <v>-175420318</v>
      </c>
      <c r="H189" s="1046"/>
      <c r="I189" s="1046">
        <f t="shared" si="68"/>
        <v>-119323698.55000001</v>
      </c>
      <c r="J189" s="1046">
        <f t="shared" si="68"/>
        <v>-44324461.885000005</v>
      </c>
      <c r="K189" s="1046">
        <f t="shared" si="68"/>
        <v>-11772157.705</v>
      </c>
      <c r="L189" s="1046"/>
      <c r="M189" s="847">
        <v>-104389679.68000001</v>
      </c>
      <c r="N189" s="847">
        <v>-47229442.060000002</v>
      </c>
      <c r="O189" s="847">
        <v>-14872332.24</v>
      </c>
      <c r="P189" s="1046"/>
      <c r="Q189" s="847">
        <v>-134257717.42000002</v>
      </c>
      <c r="R189" s="847">
        <v>-41419481.710000001</v>
      </c>
      <c r="S189" s="847">
        <v>-8671983.1699999999</v>
      </c>
    </row>
    <row r="190" spans="1:19">
      <c r="A190" s="1076">
        <f t="shared" si="66"/>
        <v>10.049999999999978</v>
      </c>
      <c r="B190" s="847" t="s">
        <v>1012</v>
      </c>
      <c r="C190" s="847">
        <f t="shared" ref="C190:D195" si="69">-E190</f>
        <v>-70158.27</v>
      </c>
      <c r="D190" s="847">
        <f t="shared" si="69"/>
        <v>144224.64000000001</v>
      </c>
      <c r="E190" s="1046">
        <v>70158.27</v>
      </c>
      <c r="F190" s="1046">
        <v>-144224.64000000001</v>
      </c>
      <c r="G190" s="1046">
        <f t="shared" si="49"/>
        <v>0</v>
      </c>
      <c r="H190" s="1046"/>
      <c r="I190" s="1046"/>
      <c r="J190" s="1046"/>
      <c r="K190" s="1046"/>
      <c r="L190" s="1046"/>
      <c r="M190" s="1046"/>
      <c r="N190" s="1046"/>
      <c r="O190" s="1046"/>
      <c r="P190" s="1046"/>
      <c r="Q190" s="1046"/>
      <c r="R190" s="1046"/>
      <c r="S190" s="1046"/>
    </row>
    <row r="191" spans="1:19">
      <c r="A191" s="1076">
        <f t="shared" si="66"/>
        <v>10.059999999999977</v>
      </c>
      <c r="B191" s="847" t="s">
        <v>1151</v>
      </c>
      <c r="C191" s="847">
        <f t="shared" si="69"/>
        <v>81659481.280000001</v>
      </c>
      <c r="D191" s="847">
        <f t="shared" si="69"/>
        <v>76233866.790000007</v>
      </c>
      <c r="E191" s="1046">
        <v>-81659481.280000001</v>
      </c>
      <c r="F191" s="1046">
        <v>-76233866.790000007</v>
      </c>
      <c r="G191" s="1046">
        <f t="shared" si="49"/>
        <v>0</v>
      </c>
      <c r="H191" s="1046"/>
      <c r="I191" s="1046"/>
      <c r="J191" s="1046"/>
      <c r="K191" s="1046"/>
      <c r="L191" s="1046"/>
      <c r="M191" s="1046"/>
      <c r="N191" s="1046"/>
      <c r="O191" s="1046"/>
      <c r="P191" s="1046"/>
      <c r="Q191" s="1046"/>
      <c r="R191" s="1046"/>
      <c r="S191" s="1046"/>
    </row>
    <row r="192" spans="1:19">
      <c r="A192" s="1076">
        <f t="shared" si="66"/>
        <v>10.069999999999977</v>
      </c>
      <c r="B192" s="847" t="s">
        <v>1152</v>
      </c>
      <c r="C192" s="847">
        <f t="shared" si="69"/>
        <v>162317366.80000001</v>
      </c>
      <c r="D192" s="847">
        <f t="shared" si="69"/>
        <v>184349182.30000001</v>
      </c>
      <c r="E192" s="1046">
        <v>-162317366.80000001</v>
      </c>
      <c r="F192" s="1046">
        <v>-184349182.30000001</v>
      </c>
      <c r="G192" s="1046"/>
      <c r="H192" s="1046"/>
      <c r="I192" s="1046"/>
      <c r="J192" s="1046"/>
      <c r="K192" s="1046"/>
      <c r="L192" s="1046"/>
      <c r="M192" s="1046"/>
      <c r="N192" s="1046"/>
      <c r="O192" s="1046"/>
      <c r="P192" s="1046"/>
      <c r="Q192" s="1046"/>
      <c r="R192" s="1046"/>
      <c r="S192" s="1046"/>
    </row>
    <row r="193" spans="1:19">
      <c r="A193" s="1076">
        <f t="shared" si="66"/>
        <v>10.079999999999977</v>
      </c>
      <c r="B193" s="847" t="s">
        <v>1153</v>
      </c>
      <c r="C193" s="847">
        <f t="shared" si="69"/>
        <v>953648.11</v>
      </c>
      <c r="D193" s="847">
        <f t="shared" si="69"/>
        <v>1175966.17</v>
      </c>
      <c r="E193" s="1046">
        <v>-953648.11</v>
      </c>
      <c r="F193" s="1046">
        <v>-1175966.17</v>
      </c>
      <c r="G193" s="1046"/>
      <c r="H193" s="1046"/>
      <c r="I193" s="1046"/>
      <c r="J193" s="1046"/>
      <c r="K193" s="1046"/>
      <c r="L193" s="1046"/>
      <c r="M193" s="1046"/>
      <c r="N193" s="1046"/>
      <c r="O193" s="1046"/>
      <c r="P193" s="1046"/>
      <c r="Q193" s="1046"/>
      <c r="R193" s="1046"/>
      <c r="S193" s="1046"/>
    </row>
    <row r="194" spans="1:19">
      <c r="A194" s="1076">
        <f t="shared" si="66"/>
        <v>10.089999999999977</v>
      </c>
      <c r="B194" s="847" t="s">
        <v>1154</v>
      </c>
      <c r="C194" s="847">
        <f t="shared" si="69"/>
        <v>13689.38</v>
      </c>
      <c r="D194" s="847">
        <f t="shared" si="69"/>
        <v>11117.12</v>
      </c>
      <c r="E194" s="1046">
        <v>-13689.38</v>
      </c>
      <c r="F194" s="1046">
        <v>-11117.12</v>
      </c>
      <c r="G194" s="1046"/>
      <c r="H194" s="1046"/>
      <c r="I194" s="1046"/>
      <c r="J194" s="1046"/>
      <c r="K194" s="1046"/>
      <c r="L194" s="1046"/>
      <c r="M194" s="1046"/>
      <c r="N194" s="1046"/>
      <c r="O194" s="1046"/>
      <c r="P194" s="1046"/>
      <c r="Q194" s="1046"/>
      <c r="R194" s="1046"/>
      <c r="S194" s="1046"/>
    </row>
    <row r="195" spans="1:19">
      <c r="A195" s="1076">
        <f t="shared" si="66"/>
        <v>10.099999999999977</v>
      </c>
      <c r="B195" s="847" t="s">
        <v>1155</v>
      </c>
      <c r="C195" s="847">
        <f t="shared" si="69"/>
        <v>0</v>
      </c>
      <c r="D195" s="847">
        <f t="shared" si="69"/>
        <v>0</v>
      </c>
      <c r="E195" s="1046">
        <v>0</v>
      </c>
      <c r="F195" s="1046">
        <v>0</v>
      </c>
      <c r="G195" s="1046"/>
      <c r="H195" s="1046"/>
      <c r="I195" s="1046"/>
      <c r="J195" s="1046"/>
      <c r="K195" s="1046"/>
      <c r="L195" s="1046"/>
      <c r="M195" s="1046"/>
      <c r="N195" s="1046"/>
      <c r="O195" s="1046"/>
      <c r="P195" s="1046"/>
      <c r="Q195" s="1046"/>
      <c r="R195" s="1046"/>
      <c r="S195" s="1046"/>
    </row>
    <row r="196" spans="1:19">
      <c r="A196" s="1076"/>
      <c r="B196" s="847"/>
      <c r="C196" s="847"/>
      <c r="D196" s="847"/>
      <c r="E196" s="1046"/>
      <c r="F196" s="1046"/>
      <c r="G196" s="1046"/>
      <c r="H196" s="1046"/>
      <c r="I196" s="1046"/>
      <c r="J196" s="1046"/>
      <c r="K196" s="1046"/>
      <c r="L196" s="1046"/>
      <c r="M196" s="1046"/>
      <c r="N196" s="1046"/>
      <c r="O196" s="1046"/>
      <c r="P196" s="1046"/>
      <c r="Q196" s="1046"/>
      <c r="R196" s="1046"/>
      <c r="S196" s="1046"/>
    </row>
    <row r="197" spans="1:19">
      <c r="A197" s="1056"/>
      <c r="B197" s="1036"/>
      <c r="C197" s="1046"/>
      <c r="D197" s="1046"/>
      <c r="E197" s="1046"/>
      <c r="F197" s="1046"/>
      <c r="G197" s="1046"/>
      <c r="H197" s="1046"/>
      <c r="I197" s="1046"/>
      <c r="J197" s="1046"/>
      <c r="K197" s="1046"/>
      <c r="L197" s="1046"/>
      <c r="M197" s="1046"/>
      <c r="N197" s="1046"/>
      <c r="O197" s="1046"/>
      <c r="P197" s="1046"/>
      <c r="Q197" s="1046"/>
      <c r="R197" s="1046"/>
      <c r="S197" s="1046"/>
    </row>
    <row r="198" spans="1:19">
      <c r="A198" s="1056"/>
      <c r="B198" s="1036"/>
      <c r="C198" s="1046"/>
      <c r="D198" s="1046"/>
      <c r="E198" s="1046"/>
      <c r="F198" s="1046"/>
      <c r="G198" s="1046"/>
      <c r="H198" s="1046"/>
      <c r="I198" s="1046"/>
      <c r="J198" s="1046"/>
      <c r="K198" s="1046"/>
      <c r="L198" s="1046"/>
      <c r="M198" s="1046"/>
      <c r="N198" s="1046"/>
      <c r="O198" s="1046"/>
      <c r="P198" s="1046"/>
      <c r="Q198" s="1046"/>
      <c r="R198" s="1046"/>
      <c r="S198" s="1046"/>
    </row>
    <row r="199" spans="1:19" ht="13.5" thickBot="1">
      <c r="A199" s="1056">
        <v>10</v>
      </c>
      <c r="B199" s="1037"/>
      <c r="C199" s="1048">
        <f>SUM(C86:C198)</f>
        <v>311545650.80999994</v>
      </c>
      <c r="D199" s="1048">
        <f>SUM(D86:D198)</f>
        <v>353903938.36000001</v>
      </c>
      <c r="E199" s="1048">
        <f>SUM(E86:E198)</f>
        <v>-244874027.30000001</v>
      </c>
      <c r="F199" s="1048">
        <f>SUM(F86:F198)</f>
        <v>-261914357.02000001</v>
      </c>
      <c r="G199" s="1048">
        <f>SUM(G86:G198)</f>
        <v>79330598</v>
      </c>
      <c r="H199" s="1052"/>
      <c r="I199" s="1048">
        <f>SUM(I86:I198)</f>
        <v>22214222.919999987</v>
      </c>
      <c r="J199" s="1048">
        <f>SUM(J86:J198)</f>
        <v>-28102972.720000006</v>
      </c>
      <c r="K199" s="1048">
        <f>SUM(K86:K198)</f>
        <v>41645116.225000009</v>
      </c>
      <c r="L199" s="1052"/>
      <c r="M199" s="1048">
        <f>SUM(M86:M198)</f>
        <v>29652655.340000004</v>
      </c>
      <c r="N199" s="1048">
        <f>SUM(N86:N198)</f>
        <v>126119.1400000006</v>
      </c>
      <c r="O199" s="1048">
        <f>SUM(O86:O198)</f>
        <v>36892849.029999994</v>
      </c>
      <c r="P199" s="1052"/>
      <c r="Q199" s="1048">
        <f>SUM(Q86:Q198)</f>
        <v>34309306.49999997</v>
      </c>
      <c r="R199" s="1048">
        <f>SUM(R86:R198)</f>
        <v>11282891.419999994</v>
      </c>
      <c r="S199" s="1048">
        <f>SUM(S86:S198)</f>
        <v>46397383.420000002</v>
      </c>
    </row>
    <row r="200" spans="1:19" ht="13.5" thickTop="1">
      <c r="A200" s="1056"/>
      <c r="B200" s="1036"/>
      <c r="C200" s="1049"/>
      <c r="D200" s="1049"/>
      <c r="E200" s="1049"/>
      <c r="F200" s="1049"/>
      <c r="G200" s="1049"/>
      <c r="H200" s="1046"/>
      <c r="I200" s="1049"/>
      <c r="J200" s="1049"/>
      <c r="K200" s="1049"/>
      <c r="L200" s="1046"/>
      <c r="M200" s="1049"/>
      <c r="N200" s="1049"/>
      <c r="O200" s="1049"/>
      <c r="P200" s="1046"/>
      <c r="Q200" s="1049"/>
      <c r="R200" s="1049"/>
      <c r="S200" s="1049"/>
    </row>
    <row r="201" spans="1:19">
      <c r="A201" s="1056"/>
      <c r="B201" s="1036"/>
      <c r="C201" s="1046"/>
      <c r="D201" s="1046"/>
      <c r="E201" s="1046"/>
      <c r="F201" s="1046"/>
      <c r="G201" s="1046"/>
      <c r="H201" s="1046"/>
      <c r="I201" s="1046"/>
      <c r="J201" s="1046"/>
      <c r="K201" s="1046"/>
      <c r="L201" s="1046"/>
      <c r="M201" s="1046"/>
      <c r="N201" s="1046"/>
      <c r="O201" s="1046"/>
      <c r="P201" s="1046"/>
      <c r="Q201" s="1046"/>
      <c r="R201" s="1046"/>
      <c r="S201" s="1046"/>
    </row>
    <row r="202" spans="1:19">
      <c r="A202" s="1056">
        <f>+A199+1</f>
        <v>11</v>
      </c>
      <c r="B202" s="242" t="s">
        <v>731</v>
      </c>
      <c r="C202" s="1046">
        <f>SUM(M202:O202)</f>
        <v>77347357.86999999</v>
      </c>
      <c r="D202" s="1046">
        <f>SUM(Q202:S202)</f>
        <v>78055828.229999989</v>
      </c>
      <c r="E202" s="1046"/>
      <c r="F202" s="1046"/>
      <c r="G202" s="1046">
        <f>ROUND(SUM(C202:F202)/2,0)</f>
        <v>77701593</v>
      </c>
      <c r="H202" s="1046"/>
      <c r="I202" s="1046">
        <f>(M202+Q202)/2</f>
        <v>40813937.719999999</v>
      </c>
      <c r="J202" s="1046">
        <f>(N202+R202)/2</f>
        <v>13533500.26</v>
      </c>
      <c r="K202" s="1046">
        <f>(O202+S202)/2</f>
        <v>23354155.07</v>
      </c>
      <c r="L202" s="1046"/>
      <c r="M202" s="847">
        <v>41547829.119999997</v>
      </c>
      <c r="N202" s="847">
        <v>13161579.76</v>
      </c>
      <c r="O202" s="847">
        <v>22637948.989999998</v>
      </c>
      <c r="P202" s="1046"/>
      <c r="Q202" s="847">
        <v>40080046.32</v>
      </c>
      <c r="R202" s="847">
        <v>13905420.76</v>
      </c>
      <c r="S202" s="847">
        <v>24070361.149999999</v>
      </c>
    </row>
    <row r="203" spans="1:19">
      <c r="A203" s="1076">
        <f>A202+0.01</f>
        <v>11.01</v>
      </c>
      <c r="B203" s="847" t="s">
        <v>1156</v>
      </c>
      <c r="C203" s="847">
        <f>-E203</f>
        <v>259884681.69999999</v>
      </c>
      <c r="D203" s="847">
        <f>-F203</f>
        <v>258429067.69999999</v>
      </c>
      <c r="E203" s="1046">
        <v>-259884681.69999999</v>
      </c>
      <c r="F203" s="1046">
        <v>-258429067.69999999</v>
      </c>
      <c r="G203" s="1046">
        <f>ROUND(SUM(C203:F203)/2,0)</f>
        <v>0</v>
      </c>
      <c r="H203" s="1046"/>
      <c r="I203" s="1046"/>
      <c r="J203" s="1046"/>
      <c r="K203" s="1046"/>
      <c r="L203" s="1046"/>
      <c r="M203" s="1046"/>
      <c r="N203" s="1046"/>
      <c r="O203" s="1046"/>
      <c r="P203" s="1046"/>
      <c r="Q203" s="1046"/>
      <c r="R203" s="1046"/>
      <c r="S203" s="1046"/>
    </row>
    <row r="204" spans="1:19">
      <c r="A204" s="1056"/>
      <c r="B204" s="1036"/>
      <c r="C204" s="1046"/>
      <c r="D204" s="1046"/>
      <c r="E204" s="1046"/>
      <c r="F204" s="1046"/>
      <c r="G204" s="1046"/>
      <c r="H204" s="1046"/>
      <c r="I204" s="1046"/>
      <c r="J204" s="1046"/>
      <c r="K204" s="1046"/>
      <c r="L204" s="1046"/>
      <c r="M204" s="1046"/>
      <c r="N204" s="1046"/>
      <c r="O204" s="1046"/>
      <c r="P204" s="1046"/>
      <c r="Q204" s="1046"/>
      <c r="R204" s="1046"/>
      <c r="S204" s="1046"/>
    </row>
    <row r="205" spans="1:19" ht="13.5" thickBot="1">
      <c r="A205" s="1056">
        <f>+A202+1</f>
        <v>12</v>
      </c>
      <c r="B205" s="957" t="s">
        <v>732</v>
      </c>
      <c r="C205" s="1048">
        <f>SUM(C199:C204)</f>
        <v>648777690.37999988</v>
      </c>
      <c r="D205" s="1048">
        <f>SUM(D199:D204)</f>
        <v>690388834.28999996</v>
      </c>
      <c r="E205" s="1048">
        <f>SUM(E199:E204)</f>
        <v>-504758709</v>
      </c>
      <c r="F205" s="1048">
        <f>SUM(F199:F204)</f>
        <v>-520343424.72000003</v>
      </c>
      <c r="G205" s="1048">
        <f>SUM(G199:G204)</f>
        <v>157032191</v>
      </c>
      <c r="H205" s="1046"/>
      <c r="I205" s="1048">
        <f>SUM(I199:I204)</f>
        <v>63028160.639999986</v>
      </c>
      <c r="J205" s="1048">
        <f>SUM(J199:J204)</f>
        <v>-14569472.460000006</v>
      </c>
      <c r="K205" s="1048">
        <f>SUM(K199:K204)</f>
        <v>64999271.295000009</v>
      </c>
      <c r="L205" s="1046"/>
      <c r="M205" s="1053">
        <f>SUM(M199:M204)</f>
        <v>71200484.460000008</v>
      </c>
      <c r="N205" s="1053">
        <f>SUM(N199:N204)</f>
        <v>13287698.9</v>
      </c>
      <c r="O205" s="1053">
        <f>SUM(O199:O204)</f>
        <v>59530798.019999996</v>
      </c>
      <c r="P205" s="1046"/>
      <c r="Q205" s="1048">
        <f>SUM(Q199:Q204)</f>
        <v>74389352.819999963</v>
      </c>
      <c r="R205" s="1048">
        <f>SUM(R199:R204)</f>
        <v>25188312.179999992</v>
      </c>
      <c r="S205" s="1048">
        <f>SUM(S199:S204)</f>
        <v>70467744.569999993</v>
      </c>
    </row>
    <row r="206" spans="1:19" ht="13.5" thickTop="1">
      <c r="A206" s="1056">
        <f>A205+1</f>
        <v>13</v>
      </c>
      <c r="B206" s="1116" t="s">
        <v>743</v>
      </c>
      <c r="C206" s="1049">
        <f>C119+C158</f>
        <v>6323027.9500000002</v>
      </c>
      <c r="D206" s="1049">
        <f t="shared" ref="D206:S206" si="70">D119+D158</f>
        <v>6249387.0700000003</v>
      </c>
      <c r="E206" s="1049">
        <f t="shared" si="70"/>
        <v>0</v>
      </c>
      <c r="F206" s="1049">
        <f t="shared" si="70"/>
        <v>0</v>
      </c>
      <c r="G206" s="1049">
        <f t="shared" si="70"/>
        <v>6286207</v>
      </c>
      <c r="H206" s="1046"/>
      <c r="I206" s="1049">
        <f t="shared" si="70"/>
        <v>6286207.5100000007</v>
      </c>
      <c r="J206" s="1049">
        <f t="shared" si="70"/>
        <v>0</v>
      </c>
      <c r="K206" s="1049">
        <f t="shared" si="70"/>
        <v>0</v>
      </c>
      <c r="L206" s="1046"/>
      <c r="M206" s="1049">
        <f t="shared" si="70"/>
        <v>6323027.9500000002</v>
      </c>
      <c r="N206" s="1049">
        <f t="shared" si="70"/>
        <v>0</v>
      </c>
      <c r="O206" s="1049">
        <f t="shared" si="70"/>
        <v>0</v>
      </c>
      <c r="P206" s="1046"/>
      <c r="Q206" s="1049">
        <f t="shared" si="70"/>
        <v>6249387.0700000003</v>
      </c>
      <c r="R206" s="1049">
        <f t="shared" si="70"/>
        <v>0</v>
      </c>
      <c r="S206" s="1049">
        <f t="shared" si="70"/>
        <v>0</v>
      </c>
    </row>
    <row r="207" spans="1:19">
      <c r="A207" s="1056"/>
      <c r="B207" s="1036"/>
      <c r="C207" s="1051"/>
      <c r="D207" s="1051"/>
      <c r="E207" s="1046"/>
      <c r="F207" s="1046"/>
      <c r="G207" s="1046"/>
      <c r="H207" s="1046"/>
      <c r="I207" s="1046"/>
      <c r="J207" s="1046"/>
      <c r="K207" s="1046"/>
      <c r="L207" s="1046"/>
      <c r="M207" s="1046"/>
      <c r="N207" s="1046"/>
      <c r="O207" s="1046"/>
      <c r="P207" s="1046"/>
      <c r="Q207" s="1046"/>
      <c r="R207" s="1046"/>
      <c r="S207" s="1046"/>
    </row>
    <row r="208" spans="1:19">
      <c r="A208" s="1056">
        <f>+A206+1</f>
        <v>14</v>
      </c>
      <c r="B208" s="1037" t="s">
        <v>733</v>
      </c>
      <c r="C208" s="1046"/>
      <c r="D208" s="1046"/>
      <c r="E208" s="1046"/>
      <c r="F208" s="1046"/>
      <c r="G208" s="1046"/>
      <c r="H208" s="1046"/>
      <c r="I208" s="1046"/>
      <c r="J208" s="1046"/>
      <c r="K208" s="1046"/>
      <c r="L208" s="1046"/>
      <c r="M208" s="1046"/>
      <c r="N208" s="1046"/>
      <c r="O208" s="1046"/>
      <c r="P208" s="1046"/>
      <c r="Q208" s="1046"/>
      <c r="R208" s="1046"/>
      <c r="S208" s="1046"/>
    </row>
    <row r="209" spans="1:19">
      <c r="A209" s="1056"/>
      <c r="B209" s="1036"/>
      <c r="C209" s="1046"/>
      <c r="D209" s="1046"/>
      <c r="E209" s="1046"/>
      <c r="F209" s="1046"/>
      <c r="G209" s="1046"/>
      <c r="H209" s="1046"/>
      <c r="I209" s="1046"/>
      <c r="J209" s="1046"/>
      <c r="K209" s="1046"/>
      <c r="L209" s="1046"/>
      <c r="M209" s="1046"/>
      <c r="N209" s="1046"/>
      <c r="O209" s="1046"/>
      <c r="P209" s="1046"/>
      <c r="Q209" s="1046"/>
      <c r="R209" s="1046"/>
      <c r="S209" s="1046"/>
    </row>
    <row r="210" spans="1:19">
      <c r="A210" s="1056">
        <f>+A208+1</f>
        <v>15</v>
      </c>
      <c r="B210" s="1037" t="s">
        <v>734</v>
      </c>
      <c r="C210" s="1046"/>
      <c r="D210" s="1046"/>
      <c r="E210" s="1046"/>
      <c r="F210" s="1046"/>
      <c r="G210" s="1046"/>
      <c r="H210" s="1046"/>
      <c r="I210" s="1046"/>
      <c r="J210" s="1046"/>
      <c r="K210" s="1046"/>
      <c r="L210" s="1046"/>
      <c r="M210" s="1046"/>
      <c r="N210" s="1046"/>
      <c r="O210" s="1046"/>
      <c r="P210" s="1046"/>
      <c r="Q210" s="1046"/>
      <c r="R210" s="1046"/>
      <c r="S210" s="1046"/>
    </row>
    <row r="211" spans="1:19">
      <c r="A211" s="1056"/>
      <c r="B211" s="1036"/>
      <c r="C211" s="1046"/>
      <c r="D211" s="1054"/>
      <c r="E211" s="1054"/>
      <c r="F211" s="1054"/>
      <c r="G211" s="1054"/>
      <c r="H211" s="1054"/>
      <c r="I211" s="1054"/>
      <c r="J211" s="1054"/>
      <c r="K211" s="1054"/>
      <c r="L211" s="1054"/>
      <c r="M211" s="1046"/>
      <c r="N211" s="1046"/>
      <c r="O211" s="1046"/>
      <c r="P211" s="1046"/>
      <c r="Q211" s="1046"/>
      <c r="R211" s="1046"/>
      <c r="S211" s="1046"/>
    </row>
    <row r="212" spans="1:19">
      <c r="A212" s="1056">
        <f>+A210+1</f>
        <v>16</v>
      </c>
      <c r="B212" s="1037" t="s">
        <v>735</v>
      </c>
      <c r="C212" s="1046"/>
      <c r="D212" s="1054"/>
      <c r="E212" s="1054"/>
      <c r="F212" s="1054"/>
      <c r="G212" s="1054"/>
      <c r="H212" s="1054"/>
      <c r="I212" s="1054"/>
      <c r="J212" s="1054"/>
      <c r="K212" s="1054"/>
      <c r="L212" s="1054"/>
      <c r="M212" s="1046"/>
      <c r="N212" s="1046"/>
      <c r="O212" s="1046"/>
      <c r="P212" s="1046"/>
      <c r="Q212" s="1046"/>
      <c r="R212" s="1046"/>
      <c r="S212" s="1046"/>
    </row>
    <row r="213" spans="1:19">
      <c r="A213" s="1056"/>
      <c r="B213" s="1036"/>
      <c r="C213" s="1046"/>
      <c r="D213" s="1046"/>
      <c r="E213" s="1046"/>
      <c r="F213" s="1046"/>
      <c r="G213" s="1046"/>
      <c r="H213" s="1046"/>
      <c r="I213" s="1046"/>
      <c r="J213" s="1046"/>
      <c r="K213" s="1046"/>
      <c r="L213" s="1046"/>
      <c r="M213" s="1046"/>
      <c r="N213" s="1046"/>
      <c r="O213" s="1046"/>
      <c r="P213" s="1046"/>
      <c r="Q213" s="1046"/>
      <c r="R213" s="1046"/>
      <c r="S213" s="1046"/>
    </row>
    <row r="214" spans="1:19">
      <c r="A214" s="1056">
        <f>+A212+1</f>
        <v>17</v>
      </c>
      <c r="B214" s="242" t="s">
        <v>736</v>
      </c>
      <c r="C214" s="1046"/>
      <c r="D214" s="1046"/>
      <c r="E214" s="1046"/>
      <c r="F214" s="1046"/>
      <c r="G214" s="1046"/>
      <c r="H214" s="1046"/>
      <c r="I214" s="1046"/>
      <c r="J214" s="1046"/>
      <c r="K214" s="1046"/>
      <c r="L214" s="1046"/>
      <c r="M214" s="1046"/>
      <c r="N214" s="1046"/>
      <c r="O214" s="1046"/>
      <c r="P214" s="1046"/>
      <c r="Q214" s="1046"/>
      <c r="R214" s="1046"/>
      <c r="S214" s="1046"/>
    </row>
    <row r="215" spans="1:19">
      <c r="A215" s="1056">
        <f>A214+1</f>
        <v>18</v>
      </c>
      <c r="B215" s="242" t="s">
        <v>737</v>
      </c>
      <c r="C215" s="1046"/>
      <c r="D215" s="1046"/>
      <c r="E215" s="1046"/>
      <c r="F215" s="1046"/>
      <c r="G215" s="1046"/>
      <c r="H215" s="1046"/>
      <c r="I215" s="1046"/>
      <c r="J215" s="1046"/>
      <c r="K215" s="1046"/>
      <c r="L215" s="1046"/>
      <c r="M215" s="1046"/>
      <c r="N215" s="1046"/>
      <c r="O215" s="1046"/>
      <c r="P215" s="1046"/>
      <c r="Q215" s="1046"/>
      <c r="R215" s="1046"/>
      <c r="S215" s="1046"/>
    </row>
    <row r="216" spans="1:19">
      <c r="A216" s="1076">
        <f>A215+0.01</f>
        <v>18.010000000000002</v>
      </c>
      <c r="B216" s="847" t="s">
        <v>1157</v>
      </c>
      <c r="C216" s="1046">
        <f>SUM(M216:O216)</f>
        <v>10960</v>
      </c>
      <c r="D216" s="1046">
        <f>SUM(Q216:S216)</f>
        <v>7396</v>
      </c>
      <c r="E216" s="1046"/>
      <c r="F216" s="1046"/>
      <c r="G216" s="1046">
        <f>ROUND(SUM(C216:F216)/2,0)</f>
        <v>9178</v>
      </c>
      <c r="H216" s="1046"/>
      <c r="I216" s="1046">
        <f t="shared" ref="I216:K217" si="71">(M216+Q216)/2</f>
        <v>362.5</v>
      </c>
      <c r="J216" s="1046">
        <f t="shared" si="71"/>
        <v>8620</v>
      </c>
      <c r="K216" s="1046">
        <f t="shared" si="71"/>
        <v>195.5</v>
      </c>
      <c r="L216" s="1046"/>
      <c r="M216" s="847">
        <v>666</v>
      </c>
      <c r="N216" s="847">
        <v>9943</v>
      </c>
      <c r="O216" s="847">
        <v>351</v>
      </c>
      <c r="P216" s="1046"/>
      <c r="Q216" s="847">
        <v>59</v>
      </c>
      <c r="R216" s="847">
        <v>7297</v>
      </c>
      <c r="S216" s="847">
        <v>40</v>
      </c>
    </row>
    <row r="217" spans="1:19">
      <c r="A217" s="1076">
        <f>A216+0.01</f>
        <v>18.020000000000003</v>
      </c>
      <c r="B217" s="847" t="s">
        <v>1158</v>
      </c>
      <c r="C217" s="1046">
        <f>SUM(M217:O217)</f>
        <v>491407</v>
      </c>
      <c r="D217" s="1046">
        <f>SUM(Q217:S217)</f>
        <v>311395</v>
      </c>
      <c r="E217" s="1046"/>
      <c r="F217" s="1046"/>
      <c r="G217" s="1046">
        <f>ROUND(SUM(C217:F217)/2,0)</f>
        <v>401401</v>
      </c>
      <c r="H217" s="1046"/>
      <c r="I217" s="1046">
        <f t="shared" si="71"/>
        <v>401401</v>
      </c>
      <c r="J217" s="1046">
        <f t="shared" si="71"/>
        <v>0</v>
      </c>
      <c r="K217" s="1046">
        <f t="shared" si="71"/>
        <v>0</v>
      </c>
      <c r="L217" s="1046"/>
      <c r="M217" s="847">
        <v>491407</v>
      </c>
      <c r="N217" s="847">
        <v>0</v>
      </c>
      <c r="O217" s="847">
        <v>0</v>
      </c>
      <c r="P217" s="1046"/>
      <c r="Q217" s="847">
        <v>311395</v>
      </c>
      <c r="R217" s="847">
        <v>0</v>
      </c>
      <c r="S217" s="847">
        <v>0</v>
      </c>
    </row>
    <row r="218" spans="1:19">
      <c r="A218" s="1056">
        <f>INT(A217)+1</f>
        <v>19</v>
      </c>
      <c r="B218" s="1037"/>
      <c r="C218" s="1046"/>
      <c r="D218" s="1046"/>
      <c r="E218" s="1046"/>
      <c r="F218" s="1046"/>
      <c r="G218" s="1046"/>
      <c r="H218" s="1046"/>
      <c r="I218" s="1046"/>
      <c r="J218" s="1046"/>
      <c r="K218" s="1046"/>
      <c r="L218" s="1046"/>
      <c r="M218" s="1046"/>
      <c r="N218" s="1046"/>
      <c r="O218" s="1046"/>
      <c r="P218" s="1046"/>
      <c r="Q218" s="1046"/>
      <c r="R218" s="1046"/>
      <c r="S218" s="1046"/>
    </row>
    <row r="219" spans="1:19">
      <c r="A219" s="1056">
        <f>A218+1</f>
        <v>20</v>
      </c>
      <c r="B219" s="242" t="s">
        <v>738</v>
      </c>
      <c r="C219" s="1048">
        <f>SUM(C216:C218)</f>
        <v>502367</v>
      </c>
      <c r="D219" s="1048">
        <f>SUM(D216:D218)</f>
        <v>318791</v>
      </c>
      <c r="E219" s="1048">
        <f>SUM(E216:E218)</f>
        <v>0</v>
      </c>
      <c r="F219" s="1048">
        <f>SUM(F216:F218)</f>
        <v>0</v>
      </c>
      <c r="G219" s="1048">
        <f>SUM(G216:G218)</f>
        <v>410579</v>
      </c>
      <c r="H219" s="1046"/>
      <c r="I219" s="1048">
        <f>SUM(I216:I218)</f>
        <v>401763.5</v>
      </c>
      <c r="J219" s="1048">
        <f>SUM(J216:J218)</f>
        <v>8620</v>
      </c>
      <c r="K219" s="1048">
        <f>SUM(K216:K218)</f>
        <v>195.5</v>
      </c>
      <c r="L219" s="1046"/>
      <c r="M219" s="1048">
        <f>SUM(M216:M218)</f>
        <v>492073</v>
      </c>
      <c r="N219" s="1048">
        <f>SUM(N216:N218)</f>
        <v>9943</v>
      </c>
      <c r="O219" s="1048">
        <f>SUM(O216:O218)</f>
        <v>351</v>
      </c>
      <c r="P219" s="1046"/>
      <c r="Q219" s="1048">
        <f>SUM(Q216:Q218)</f>
        <v>311454</v>
      </c>
      <c r="R219" s="1048">
        <f>SUM(R216:R218)</f>
        <v>7297</v>
      </c>
      <c r="S219" s="1048">
        <f>SUM(S216:S218)</f>
        <v>40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0"/>
  <sheetViews>
    <sheetView view="pageBreakPreview" topLeftCell="A64" zoomScale="85" zoomScaleNormal="100" zoomScaleSheetLayoutView="85" workbookViewId="0">
      <selection activeCell="F107" sqref="F107"/>
    </sheetView>
  </sheetViews>
  <sheetFormatPr defaultRowHeight="12.75"/>
  <cols>
    <col min="1" max="1" width="6" customWidth="1"/>
    <col min="2" max="2" width="54.5703125" bestFit="1" customWidth="1"/>
    <col min="3" max="3" width="13.42578125" bestFit="1" customWidth="1"/>
    <col min="4" max="4" width="12.85546875" bestFit="1" customWidth="1"/>
    <col min="5" max="6" width="17" customWidth="1"/>
    <col min="7" max="7" width="15.42578125" bestFit="1" customWidth="1"/>
    <col min="8" max="8" width="2.5703125" customWidth="1"/>
    <col min="9" max="9" width="13.140625" bestFit="1" customWidth="1"/>
    <col min="10" max="10" width="15" bestFit="1" customWidth="1"/>
    <col min="11" max="11" width="13.5703125" bestFit="1" customWidth="1"/>
    <col min="12" max="12" width="2.85546875" customWidth="1"/>
    <col min="13" max="13" width="13.140625" bestFit="1" customWidth="1"/>
    <col min="14" max="14" width="15" bestFit="1" customWidth="1"/>
    <col min="15" max="15" width="13.5703125" bestFit="1" customWidth="1"/>
    <col min="16" max="16" width="2.85546875" customWidth="1"/>
    <col min="17" max="17" width="13.140625" bestFit="1" customWidth="1"/>
    <col min="18" max="18" width="15" bestFit="1" customWidth="1"/>
    <col min="19" max="19" width="13.5703125" bestFit="1" customWidth="1"/>
  </cols>
  <sheetData>
    <row r="1" spans="1:19">
      <c r="A1" s="1057"/>
      <c r="B1" s="1115" t="str">
        <f>TCOS!F9</f>
        <v>Appalachian Power Company</v>
      </c>
      <c r="C1" s="1058"/>
      <c r="D1" s="1058"/>
      <c r="E1" s="1058"/>
      <c r="F1" s="1036"/>
      <c r="G1" s="242"/>
      <c r="H1" s="242"/>
      <c r="I1" s="242"/>
      <c r="J1" s="242"/>
      <c r="K1" s="242"/>
      <c r="L1" s="242"/>
      <c r="M1" s="1036"/>
      <c r="N1" s="1036"/>
      <c r="O1" s="242"/>
      <c r="P1" s="1036"/>
      <c r="Q1" s="1036"/>
      <c r="R1" s="1036"/>
      <c r="S1" s="242"/>
    </row>
    <row r="2" spans="1:19">
      <c r="A2" s="1057"/>
      <c r="B2" s="1035" t="s">
        <v>824</v>
      </c>
      <c r="C2" s="1058"/>
      <c r="D2" s="1058"/>
      <c r="E2" s="1058"/>
      <c r="F2" s="1058"/>
      <c r="G2" s="1059"/>
      <c r="H2" s="1059"/>
      <c r="I2" s="1059"/>
      <c r="J2" s="1059"/>
      <c r="K2" s="1059"/>
      <c r="L2" s="1059"/>
      <c r="M2" s="1036"/>
      <c r="N2" s="1036"/>
      <c r="O2" s="1059"/>
      <c r="P2" s="1036"/>
      <c r="Q2" s="1036"/>
      <c r="R2" s="1036"/>
      <c r="S2" s="1059"/>
    </row>
    <row r="3" spans="1:19">
      <c r="A3" s="1057"/>
      <c r="B3" s="1035" t="str">
        <f>"PERIOD ENDED DECEMBER 31, "&amp;TCOS!L4</f>
        <v>PERIOD ENDED DECEMBER 31, 2020</v>
      </c>
      <c r="C3" s="1058"/>
      <c r="D3" s="1058"/>
      <c r="E3" s="1058"/>
      <c r="F3" s="1058"/>
      <c r="G3" s="1058"/>
      <c r="H3" s="1058"/>
      <c r="I3" s="1058"/>
      <c r="J3" s="1058"/>
      <c r="K3" s="1058"/>
      <c r="L3" s="1058"/>
      <c r="M3" s="1036"/>
      <c r="N3" s="1036"/>
      <c r="O3" s="1036"/>
      <c r="P3" s="1036"/>
      <c r="Q3" s="1036"/>
      <c r="R3" s="1036"/>
      <c r="S3" s="1036"/>
    </row>
    <row r="4" spans="1:19">
      <c r="A4" s="1057"/>
      <c r="B4" s="1045"/>
      <c r="C4" s="1058"/>
      <c r="D4" s="1058"/>
      <c r="E4" s="1058"/>
      <c r="F4" s="1058"/>
      <c r="G4" s="1" t="s">
        <v>739</v>
      </c>
      <c r="H4" s="1058"/>
      <c r="I4" s="1058"/>
      <c r="J4" s="1058"/>
      <c r="K4" s="1058"/>
      <c r="L4" s="1058"/>
      <c r="M4" s="1036"/>
      <c r="N4" s="1036"/>
      <c r="O4" s="1036"/>
      <c r="P4" s="1036"/>
      <c r="Q4" s="1036"/>
      <c r="R4" s="1036"/>
      <c r="S4" s="1036"/>
    </row>
    <row r="5" spans="1:19">
      <c r="A5" s="1057"/>
      <c r="B5" s="1038"/>
      <c r="C5" s="1058"/>
      <c r="D5" s="1058"/>
      <c r="E5" s="1058"/>
      <c r="F5" s="1058"/>
      <c r="G5" s="1058"/>
      <c r="H5" s="1058"/>
      <c r="I5" s="1058"/>
      <c r="J5" s="1058"/>
      <c r="K5" s="1058"/>
      <c r="L5" s="1058"/>
      <c r="M5" s="1036"/>
      <c r="N5" s="1036"/>
      <c r="O5" s="1036"/>
      <c r="P5" s="1036"/>
      <c r="Q5" s="1036"/>
      <c r="R5" s="1036"/>
      <c r="S5" s="1036"/>
    </row>
    <row r="6" spans="1:19">
      <c r="A6" s="1057"/>
      <c r="B6" s="1036"/>
      <c r="C6" s="1058"/>
      <c r="D6" s="1058"/>
      <c r="E6" s="1058"/>
      <c r="F6" s="1058"/>
      <c r="G6" s="1058"/>
      <c r="H6" s="1"/>
      <c r="I6" s="1"/>
      <c r="J6" s="1"/>
      <c r="K6" s="1"/>
      <c r="L6" s="1"/>
      <c r="M6" s="1036"/>
      <c r="N6" s="1036"/>
      <c r="O6" s="1036"/>
      <c r="P6" s="1036"/>
      <c r="Q6" s="1036"/>
      <c r="R6" s="1036"/>
      <c r="S6" s="1036"/>
    </row>
    <row r="7" spans="1:19">
      <c r="A7" s="1057"/>
      <c r="B7" s="1036"/>
      <c r="C7" s="1058"/>
      <c r="D7" s="1058"/>
      <c r="E7" s="1058"/>
      <c r="F7" s="1058"/>
      <c r="G7" s="1058"/>
      <c r="H7" s="1058"/>
      <c r="I7" s="1058"/>
      <c r="J7" s="1058"/>
      <c r="K7" s="1058"/>
      <c r="L7" s="1058"/>
      <c r="M7" s="1036"/>
      <c r="N7" s="1036"/>
      <c r="O7" s="1036"/>
      <c r="P7" s="1036"/>
      <c r="Q7" s="1036"/>
      <c r="R7" s="1036"/>
      <c r="S7" s="1036"/>
    </row>
    <row r="8" spans="1:19">
      <c r="A8" s="1057"/>
      <c r="B8" s="1039" t="s">
        <v>699</v>
      </c>
      <c r="C8" s="1060" t="s">
        <v>700</v>
      </c>
      <c r="D8" s="1060" t="s">
        <v>701</v>
      </c>
      <c r="E8" s="1060" t="s">
        <v>702</v>
      </c>
      <c r="F8" s="1060" t="s">
        <v>703</v>
      </c>
      <c r="G8" s="1060" t="s">
        <v>704</v>
      </c>
      <c r="H8" s="1060"/>
      <c r="I8" s="1060" t="s">
        <v>705</v>
      </c>
      <c r="J8" s="1060" t="s">
        <v>706</v>
      </c>
      <c r="K8" s="1060" t="s">
        <v>707</v>
      </c>
      <c r="L8" s="1060"/>
      <c r="M8" s="1039" t="s">
        <v>708</v>
      </c>
      <c r="N8" s="1039" t="s">
        <v>709</v>
      </c>
      <c r="O8" s="1039" t="s">
        <v>710</v>
      </c>
      <c r="P8" s="1036"/>
      <c r="Q8" s="1039" t="s">
        <v>711</v>
      </c>
      <c r="R8" s="1039" t="s">
        <v>712</v>
      </c>
      <c r="S8" s="1039" t="s">
        <v>713</v>
      </c>
    </row>
    <row r="9" spans="1:19">
      <c r="A9" s="1057"/>
      <c r="B9" s="1036"/>
      <c r="C9" s="1058"/>
      <c r="D9" s="1058"/>
      <c r="E9" s="1058"/>
      <c r="F9" s="1058"/>
      <c r="G9" s="1058"/>
      <c r="H9" s="1058"/>
      <c r="I9" s="1058"/>
      <c r="J9" s="1058"/>
      <c r="K9" s="1058"/>
      <c r="L9" s="1058"/>
      <c r="M9" s="1036"/>
      <c r="N9" s="1036"/>
      <c r="O9" s="1036"/>
      <c r="P9" s="1036"/>
      <c r="Q9" s="1036"/>
      <c r="R9" s="1036"/>
      <c r="S9" s="1036"/>
    </row>
    <row r="10" spans="1:19">
      <c r="A10" s="1057"/>
      <c r="B10" s="1036"/>
      <c r="C10" s="1061" t="s">
        <v>714</v>
      </c>
      <c r="D10" s="1061"/>
      <c r="E10" s="1062" t="s">
        <v>715</v>
      </c>
      <c r="F10" s="1061"/>
      <c r="G10" s="1063" t="s">
        <v>716</v>
      </c>
      <c r="H10" s="1063"/>
      <c r="I10" s="1064" t="s">
        <v>717</v>
      </c>
      <c r="J10" s="1061"/>
      <c r="K10" s="1061"/>
      <c r="L10" s="1063"/>
      <c r="M10" s="1043" t="str">
        <f>"FUNCTIONALIZATION 12/31/"&amp;TCOS!L4-1</f>
        <v>FUNCTIONALIZATION 12/31/2019</v>
      </c>
      <c r="N10" s="1040"/>
      <c r="O10" s="1040"/>
      <c r="P10" s="1036"/>
      <c r="Q10" s="1043" t="str">
        <f>"FUNCTIONALIZATION 12/31/"&amp;TCOS!L4</f>
        <v>FUNCTIONALIZATION 12/31/2020</v>
      </c>
      <c r="R10" s="1040"/>
      <c r="S10" s="1040"/>
    </row>
    <row r="11" spans="1:19">
      <c r="A11" s="1057"/>
      <c r="B11" s="1036"/>
      <c r="C11" s="1065"/>
      <c r="D11" s="1065"/>
      <c r="E11" s="1058"/>
      <c r="F11" s="1058"/>
      <c r="G11" s="1063" t="s">
        <v>718</v>
      </c>
      <c r="H11" s="1063"/>
      <c r="I11" s="1065"/>
      <c r="J11" s="1065"/>
      <c r="K11" s="1065"/>
      <c r="L11" s="1063"/>
      <c r="M11" s="1044"/>
      <c r="N11" s="1044"/>
      <c r="O11" s="1044"/>
      <c r="P11" s="1036"/>
      <c r="Q11" s="1044"/>
      <c r="R11" s="1044"/>
      <c r="S11" s="1044"/>
    </row>
    <row r="12" spans="1:19">
      <c r="A12" s="1057"/>
      <c r="B12" s="1036"/>
      <c r="C12" s="1063" t="s">
        <v>719</v>
      </c>
      <c r="D12" s="1063" t="s">
        <v>719</v>
      </c>
      <c r="E12" s="1063" t="s">
        <v>719</v>
      </c>
      <c r="F12" s="1063" t="s">
        <v>719</v>
      </c>
      <c r="G12" s="1063" t="s">
        <v>720</v>
      </c>
      <c r="H12" s="1063"/>
      <c r="I12" s="1058"/>
      <c r="J12" s="1058"/>
      <c r="K12" s="1058"/>
      <c r="L12" s="1063"/>
      <c r="M12" s="1036"/>
      <c r="N12" s="1036"/>
      <c r="O12" s="1036"/>
      <c r="P12" s="1036"/>
      <c r="Q12" s="1036"/>
      <c r="R12" s="1036"/>
      <c r="S12" s="1036"/>
    </row>
    <row r="13" spans="1:19">
      <c r="A13" s="1057"/>
      <c r="B13" s="1039" t="s">
        <v>721</v>
      </c>
      <c r="C13" s="1060" t="str">
        <f>"OF 12-31-"&amp;TCOS!L4-1</f>
        <v>OF 12-31-2019</v>
      </c>
      <c r="D13" s="1060" t="str">
        <f>"OF 12-31-"&amp;TCOS!L4</f>
        <v>OF 12-31-2020</v>
      </c>
      <c r="E13" s="1060" t="str">
        <f>"OF 12-31-"&amp;TCOS!L4-1</f>
        <v>OF 12-31-2019</v>
      </c>
      <c r="F13" s="1060" t="str">
        <f>"OF 12-31-"&amp;TCOS!L4</f>
        <v>OF 12-31-2020</v>
      </c>
      <c r="G13" s="1060" t="s">
        <v>722</v>
      </c>
      <c r="H13" s="1060"/>
      <c r="I13" s="1060" t="s">
        <v>723</v>
      </c>
      <c r="J13" s="1060" t="s">
        <v>724</v>
      </c>
      <c r="K13" s="1060" t="s">
        <v>725</v>
      </c>
      <c r="L13" s="1060"/>
      <c r="M13" s="1039" t="s">
        <v>723</v>
      </c>
      <c r="N13" s="1039" t="s">
        <v>724</v>
      </c>
      <c r="O13" s="1039" t="s">
        <v>725</v>
      </c>
      <c r="P13" s="1036"/>
      <c r="Q13" s="1039" t="s">
        <v>723</v>
      </c>
      <c r="R13" s="1039" t="s">
        <v>724</v>
      </c>
      <c r="S13" s="1039" t="s">
        <v>725</v>
      </c>
    </row>
    <row r="14" spans="1:19">
      <c r="A14" s="1057"/>
      <c r="B14" s="1036"/>
      <c r="C14" s="1058"/>
      <c r="D14" s="1058"/>
      <c r="E14" s="1058"/>
      <c r="F14" s="1058"/>
      <c r="G14" s="1058"/>
      <c r="H14" s="1058"/>
      <c r="I14" s="1058"/>
      <c r="J14" s="1058"/>
      <c r="K14" s="1058"/>
      <c r="L14" s="1058"/>
      <c r="M14" s="1036"/>
      <c r="N14" s="1036"/>
      <c r="O14" s="1036"/>
      <c r="P14" s="1036"/>
      <c r="Q14" s="1036"/>
      <c r="R14" s="1036"/>
      <c r="S14" s="1036"/>
    </row>
    <row r="15" spans="1:19">
      <c r="A15" s="1066">
        <v>1</v>
      </c>
      <c r="B15" s="1051" t="s">
        <v>740</v>
      </c>
      <c r="C15" s="1046"/>
      <c r="D15" s="1046"/>
      <c r="E15" s="1046"/>
      <c r="F15" s="1047"/>
      <c r="G15" s="1046"/>
      <c r="H15" s="1046"/>
      <c r="I15" s="1046"/>
      <c r="J15" s="1046"/>
      <c r="K15" s="1046"/>
      <c r="L15" s="1046"/>
      <c r="M15" s="1046"/>
      <c r="N15" s="1046"/>
      <c r="O15" s="1046"/>
      <c r="P15" s="1046"/>
      <c r="Q15" s="1046"/>
      <c r="R15" s="1046"/>
      <c r="S15" s="1046"/>
    </row>
    <row r="16" spans="1:19">
      <c r="A16" s="1066"/>
      <c r="B16" s="1046"/>
      <c r="C16" s="1046"/>
      <c r="D16" s="1046"/>
      <c r="E16" s="1046"/>
      <c r="F16" s="1046"/>
      <c r="G16" s="1046"/>
      <c r="H16" s="1046"/>
      <c r="I16" s="1046"/>
      <c r="J16" s="1046"/>
      <c r="K16" s="1046"/>
      <c r="L16" s="1046"/>
      <c r="M16" s="1046"/>
      <c r="N16" s="1046"/>
      <c r="O16" s="1046"/>
      <c r="P16" s="1046"/>
      <c r="Q16" s="1046"/>
      <c r="R16" s="1046"/>
      <c r="S16" s="1046"/>
    </row>
    <row r="17" spans="1:19">
      <c r="A17" s="1076">
        <v>2.0099999999999998</v>
      </c>
      <c r="B17" s="847" t="s">
        <v>1159</v>
      </c>
      <c r="C17" s="1046">
        <f t="shared" ref="C17:C82" si="0">SUM(M17:O17)</f>
        <v>2475321.8499999996</v>
      </c>
      <c r="D17" s="1046">
        <f t="shared" ref="D17:D82" si="1">SUM(Q17:S17)</f>
        <v>1633253.9499999995</v>
      </c>
      <c r="E17" s="1046"/>
      <c r="F17" s="1046"/>
      <c r="G17" s="1046">
        <f t="shared" ref="G17:G82" si="2">ROUND(SUM(C17:F17)/2,0)</f>
        <v>2054288</v>
      </c>
      <c r="H17" s="1046"/>
      <c r="I17" s="1046">
        <f t="shared" ref="I17:K50" si="3">(M17+Q17)/2</f>
        <v>1625425.7549999997</v>
      </c>
      <c r="J17" s="1046">
        <f t="shared" si="3"/>
        <v>142658.88500000001</v>
      </c>
      <c r="K17" s="1046">
        <f t="shared" si="3"/>
        <v>286203.26</v>
      </c>
      <c r="L17" s="1046"/>
      <c r="M17" s="847">
        <v>2003954.4</v>
      </c>
      <c r="N17" s="847">
        <v>141430.42000000001</v>
      </c>
      <c r="O17" s="847">
        <v>329937.03000000003</v>
      </c>
      <c r="P17" s="1046"/>
      <c r="Q17" s="847">
        <v>1246897.1099999994</v>
      </c>
      <c r="R17" s="847">
        <v>143887.35</v>
      </c>
      <c r="S17" s="847">
        <v>242469.49</v>
      </c>
    </row>
    <row r="18" spans="1:19">
      <c r="A18" s="1076">
        <f>A17+0.01</f>
        <v>2.0199999999999996</v>
      </c>
      <c r="B18" s="847" t="s">
        <v>1015</v>
      </c>
      <c r="C18" s="1046">
        <f t="shared" si="0"/>
        <v>0</v>
      </c>
      <c r="D18" s="1046">
        <f t="shared" si="1"/>
        <v>0</v>
      </c>
      <c r="E18" s="1046"/>
      <c r="F18" s="1046"/>
      <c r="G18" s="1046">
        <f t="shared" si="2"/>
        <v>0</v>
      </c>
      <c r="H18" s="1046"/>
      <c r="I18" s="1046">
        <f t="shared" si="3"/>
        <v>0</v>
      </c>
      <c r="J18" s="1046">
        <f t="shared" si="3"/>
        <v>0</v>
      </c>
      <c r="K18" s="1046">
        <f t="shared" si="3"/>
        <v>0</v>
      </c>
      <c r="L18" s="1046"/>
      <c r="M18" s="847">
        <v>0</v>
      </c>
      <c r="N18" s="847">
        <v>0</v>
      </c>
      <c r="O18" s="847">
        <v>0</v>
      </c>
      <c r="P18" s="1046"/>
      <c r="Q18" s="847">
        <v>0</v>
      </c>
      <c r="R18" s="847">
        <v>0</v>
      </c>
      <c r="S18" s="847">
        <v>0</v>
      </c>
    </row>
    <row r="19" spans="1:19">
      <c r="A19" s="1076">
        <f t="shared" ref="A19:A84" si="4">A18+0.01</f>
        <v>2.0299999999999994</v>
      </c>
      <c r="B19" s="847" t="s">
        <v>1160</v>
      </c>
      <c r="C19" s="1046">
        <f t="shared" si="0"/>
        <v>50481094.649999999</v>
      </c>
      <c r="D19" s="1046">
        <f t="shared" si="1"/>
        <v>51506694.219999999</v>
      </c>
      <c r="E19" s="1046"/>
      <c r="F19" s="1046"/>
      <c r="G19" s="1046">
        <f t="shared" si="2"/>
        <v>50993894</v>
      </c>
      <c r="H19" s="1046"/>
      <c r="I19" s="1046">
        <f t="shared" si="3"/>
        <v>27830378.185000002</v>
      </c>
      <c r="J19" s="1046">
        <f t="shared" si="3"/>
        <v>19082042.059999999</v>
      </c>
      <c r="K19" s="1046">
        <f t="shared" si="3"/>
        <v>4081474.1899999995</v>
      </c>
      <c r="L19" s="1046"/>
      <c r="M19" s="847">
        <v>28399259.68</v>
      </c>
      <c r="N19" s="847">
        <v>18232266.989999998</v>
      </c>
      <c r="O19" s="847">
        <v>3849567.98</v>
      </c>
      <c r="P19" s="1046"/>
      <c r="Q19" s="847">
        <v>27261496.690000001</v>
      </c>
      <c r="R19" s="847">
        <v>19931817.129999999</v>
      </c>
      <c r="S19" s="847">
        <v>4313380.3999999994</v>
      </c>
    </row>
    <row r="20" spans="1:19">
      <c r="A20" s="1076">
        <f t="shared" si="4"/>
        <v>2.0399999999999991</v>
      </c>
      <c r="B20" s="847" t="s">
        <v>1161</v>
      </c>
      <c r="C20" s="1046">
        <f t="shared" si="0"/>
        <v>0</v>
      </c>
      <c r="D20" s="1046">
        <f t="shared" si="1"/>
        <v>0</v>
      </c>
      <c r="E20" s="1046"/>
      <c r="F20" s="1046"/>
      <c r="G20" s="1046">
        <f t="shared" si="2"/>
        <v>0</v>
      </c>
      <c r="H20" s="1046"/>
      <c r="I20" s="1046">
        <f t="shared" si="3"/>
        <v>0</v>
      </c>
      <c r="J20" s="1046">
        <f t="shared" si="3"/>
        <v>0</v>
      </c>
      <c r="K20" s="1046">
        <f t="shared" si="3"/>
        <v>0</v>
      </c>
      <c r="L20" s="1046"/>
      <c r="M20" s="847">
        <v>0</v>
      </c>
      <c r="N20" s="847">
        <v>0</v>
      </c>
      <c r="O20" s="847">
        <v>0</v>
      </c>
      <c r="P20" s="1046"/>
      <c r="Q20" s="847">
        <v>0</v>
      </c>
      <c r="R20" s="847">
        <v>0</v>
      </c>
      <c r="S20" s="847">
        <v>0</v>
      </c>
    </row>
    <row r="21" spans="1:19">
      <c r="A21" s="1076">
        <f t="shared" si="4"/>
        <v>2.0499999999999989</v>
      </c>
      <c r="B21" s="847" t="s">
        <v>1162</v>
      </c>
      <c r="C21" s="1046">
        <f t="shared" si="0"/>
        <v>5241116.3599999994</v>
      </c>
      <c r="D21" s="1046">
        <f t="shared" si="1"/>
        <v>5984498.75</v>
      </c>
      <c r="E21" s="1046"/>
      <c r="F21" s="1046"/>
      <c r="G21" s="1046">
        <f t="shared" si="2"/>
        <v>5612808</v>
      </c>
      <c r="H21" s="1046"/>
      <c r="I21" s="1046">
        <f t="shared" si="3"/>
        <v>0</v>
      </c>
      <c r="J21" s="1046">
        <f t="shared" si="3"/>
        <v>911031.64500000002</v>
      </c>
      <c r="K21" s="1046">
        <f t="shared" si="3"/>
        <v>4701775.91</v>
      </c>
      <c r="L21" s="1046"/>
      <c r="M21" s="847">
        <v>0</v>
      </c>
      <c r="N21" s="847">
        <v>870682.14</v>
      </c>
      <c r="O21" s="847">
        <v>4370434.22</v>
      </c>
      <c r="P21" s="1046"/>
      <c r="Q21" s="847">
        <v>0</v>
      </c>
      <c r="R21" s="847">
        <v>951381.15</v>
      </c>
      <c r="S21" s="847">
        <v>5033117.5999999996</v>
      </c>
    </row>
    <row r="22" spans="1:19">
      <c r="A22" s="1076">
        <f t="shared" si="4"/>
        <v>2.0599999999999987</v>
      </c>
      <c r="B22" s="847" t="s">
        <v>1163</v>
      </c>
      <c r="C22" s="1046">
        <f t="shared" si="0"/>
        <v>203424.37</v>
      </c>
      <c r="D22" s="1046">
        <f t="shared" si="1"/>
        <v>203424.37</v>
      </c>
      <c r="E22" s="1046"/>
      <c r="F22" s="1046"/>
      <c r="G22" s="1046">
        <f t="shared" si="2"/>
        <v>203424</v>
      </c>
      <c r="H22" s="1046"/>
      <c r="I22" s="1046">
        <f t="shared" si="3"/>
        <v>0</v>
      </c>
      <c r="J22" s="1046">
        <f t="shared" si="3"/>
        <v>203424.37</v>
      </c>
      <c r="K22" s="1046">
        <f t="shared" si="3"/>
        <v>0</v>
      </c>
      <c r="L22" s="1046"/>
      <c r="M22" s="847">
        <v>0</v>
      </c>
      <c r="N22" s="847">
        <v>203424.37</v>
      </c>
      <c r="O22" s="847">
        <v>0</v>
      </c>
      <c r="P22" s="1046"/>
      <c r="Q22" s="847">
        <v>0</v>
      </c>
      <c r="R22" s="847">
        <v>203424.37</v>
      </c>
      <c r="S22" s="847">
        <v>0</v>
      </c>
    </row>
    <row r="23" spans="1:19">
      <c r="A23" s="1076">
        <f t="shared" si="4"/>
        <v>2.0699999999999985</v>
      </c>
      <c r="B23" s="847" t="s">
        <v>1164</v>
      </c>
      <c r="C23" s="1046">
        <f t="shared" si="0"/>
        <v>2560478.54</v>
      </c>
      <c r="D23" s="1046">
        <f t="shared" si="1"/>
        <v>2966092.09</v>
      </c>
      <c r="E23" s="1046"/>
      <c r="F23" s="1046"/>
      <c r="G23" s="1046">
        <f t="shared" si="2"/>
        <v>2763285</v>
      </c>
      <c r="H23" s="1046"/>
      <c r="I23" s="1046">
        <f t="shared" si="3"/>
        <v>0</v>
      </c>
      <c r="J23" s="1046">
        <f t="shared" si="3"/>
        <v>127039.07</v>
      </c>
      <c r="K23" s="1046">
        <f t="shared" si="3"/>
        <v>2636246.2450000001</v>
      </c>
      <c r="L23" s="1046"/>
      <c r="M23" s="847">
        <v>0</v>
      </c>
      <c r="N23" s="847">
        <v>125739.3</v>
      </c>
      <c r="O23" s="847">
        <v>2434739.2400000002</v>
      </c>
      <c r="P23" s="1046"/>
      <c r="Q23" s="847">
        <v>0</v>
      </c>
      <c r="R23" s="847">
        <v>128338.84</v>
      </c>
      <c r="S23" s="847">
        <v>2837753.25</v>
      </c>
    </row>
    <row r="24" spans="1:19">
      <c r="A24" s="1076">
        <f t="shared" si="4"/>
        <v>2.0799999999999983</v>
      </c>
      <c r="B24" s="847" t="s">
        <v>1165</v>
      </c>
      <c r="C24" s="1046">
        <f t="shared" si="0"/>
        <v>0</v>
      </c>
      <c r="D24" s="1046">
        <f t="shared" si="1"/>
        <v>0</v>
      </c>
      <c r="E24" s="1046"/>
      <c r="F24" s="1046"/>
      <c r="G24" s="1046">
        <f t="shared" si="2"/>
        <v>0</v>
      </c>
      <c r="H24" s="1046"/>
      <c r="I24" s="1046">
        <f t="shared" si="3"/>
        <v>0</v>
      </c>
      <c r="J24" s="1046">
        <f t="shared" si="3"/>
        <v>0</v>
      </c>
      <c r="K24" s="1046">
        <f t="shared" si="3"/>
        <v>0</v>
      </c>
      <c r="L24" s="1046"/>
      <c r="M24" s="847">
        <v>0</v>
      </c>
      <c r="N24" s="847">
        <v>0</v>
      </c>
      <c r="O24" s="847">
        <v>0</v>
      </c>
      <c r="P24" s="1046"/>
      <c r="Q24" s="847">
        <v>0</v>
      </c>
      <c r="R24" s="847">
        <v>0</v>
      </c>
      <c r="S24" s="847">
        <v>0</v>
      </c>
    </row>
    <row r="25" spans="1:19">
      <c r="A25" s="1076">
        <f t="shared" si="4"/>
        <v>2.0899999999999981</v>
      </c>
      <c r="B25" s="847" t="s">
        <v>1166</v>
      </c>
      <c r="C25" s="1046">
        <f t="shared" si="0"/>
        <v>0</v>
      </c>
      <c r="D25" s="1046">
        <f t="shared" si="1"/>
        <v>0</v>
      </c>
      <c r="E25" s="1046"/>
      <c r="F25" s="1046"/>
      <c r="G25" s="1046">
        <f t="shared" si="2"/>
        <v>0</v>
      </c>
      <c r="H25" s="1046"/>
      <c r="I25" s="1046">
        <f t="shared" si="3"/>
        <v>0</v>
      </c>
      <c r="J25" s="1046">
        <f t="shared" si="3"/>
        <v>0</v>
      </c>
      <c r="K25" s="1046">
        <f t="shared" si="3"/>
        <v>0</v>
      </c>
      <c r="L25" s="1046"/>
      <c r="M25" s="847">
        <v>0</v>
      </c>
      <c r="N25" s="847">
        <v>0</v>
      </c>
      <c r="O25" s="847">
        <v>0</v>
      </c>
      <c r="P25" s="1046"/>
      <c r="Q25" s="847">
        <v>0</v>
      </c>
      <c r="R25" s="847">
        <v>0</v>
      </c>
      <c r="S25" s="847">
        <v>0</v>
      </c>
    </row>
    <row r="26" spans="1:19">
      <c r="A26" s="1076">
        <f t="shared" si="4"/>
        <v>2.0999999999999979</v>
      </c>
      <c r="B26" s="847" t="s">
        <v>1167</v>
      </c>
      <c r="C26" s="1046">
        <f t="shared" si="0"/>
        <v>0</v>
      </c>
      <c r="D26" s="1046">
        <f t="shared" si="1"/>
        <v>0</v>
      </c>
      <c r="E26" s="1046"/>
      <c r="F26" s="1046"/>
      <c r="G26" s="1046">
        <f t="shared" si="2"/>
        <v>0</v>
      </c>
      <c r="H26" s="1046"/>
      <c r="I26" s="1046">
        <f t="shared" si="3"/>
        <v>0</v>
      </c>
      <c r="J26" s="1046">
        <f t="shared" si="3"/>
        <v>0</v>
      </c>
      <c r="K26" s="1046">
        <f t="shared" si="3"/>
        <v>0</v>
      </c>
      <c r="L26" s="1046"/>
      <c r="M26" s="847">
        <v>0</v>
      </c>
      <c r="N26" s="847">
        <v>0</v>
      </c>
      <c r="O26" s="847">
        <v>0</v>
      </c>
      <c r="P26" s="1046"/>
      <c r="Q26" s="847">
        <v>0</v>
      </c>
      <c r="R26" s="847">
        <v>0</v>
      </c>
      <c r="S26" s="847">
        <v>0</v>
      </c>
    </row>
    <row r="27" spans="1:19">
      <c r="A27" s="1076">
        <f t="shared" si="4"/>
        <v>2.1099999999999977</v>
      </c>
      <c r="B27" s="847" t="s">
        <v>1168</v>
      </c>
      <c r="C27" s="1046">
        <f t="shared" si="0"/>
        <v>931221.07</v>
      </c>
      <c r="D27" s="1046">
        <f t="shared" si="1"/>
        <v>347405.47000000003</v>
      </c>
      <c r="E27" s="1046"/>
      <c r="F27" s="1046"/>
      <c r="G27" s="1046">
        <f t="shared" si="2"/>
        <v>639313</v>
      </c>
      <c r="H27" s="1046"/>
      <c r="I27" s="1046">
        <f t="shared" si="3"/>
        <v>168665.08000000002</v>
      </c>
      <c r="J27" s="1046">
        <f t="shared" si="3"/>
        <v>446340.39</v>
      </c>
      <c r="K27" s="1046">
        <f t="shared" si="3"/>
        <v>24307.8</v>
      </c>
      <c r="L27" s="1046"/>
      <c r="M27" s="847">
        <v>301014.14</v>
      </c>
      <c r="N27" s="847">
        <v>581591.31999999995</v>
      </c>
      <c r="O27" s="847">
        <v>48615.61</v>
      </c>
      <c r="P27" s="1046"/>
      <c r="Q27" s="847">
        <v>36316.019999999997</v>
      </c>
      <c r="R27" s="847">
        <v>311089.46000000002</v>
      </c>
      <c r="S27" s="847">
        <v>-0.01</v>
      </c>
    </row>
    <row r="28" spans="1:19">
      <c r="A28" s="1076">
        <f t="shared" si="4"/>
        <v>2.1199999999999974</v>
      </c>
      <c r="B28" s="847" t="s">
        <v>1169</v>
      </c>
      <c r="C28" s="1046">
        <f t="shared" si="0"/>
        <v>110089.78</v>
      </c>
      <c r="D28" s="1046">
        <f t="shared" si="1"/>
        <v>110089.78</v>
      </c>
      <c r="E28" s="1046"/>
      <c r="F28" s="1046"/>
      <c r="G28" s="1046">
        <f t="shared" si="2"/>
        <v>110090</v>
      </c>
      <c r="H28" s="1046"/>
      <c r="I28" s="1046">
        <f t="shared" si="3"/>
        <v>110089.78</v>
      </c>
      <c r="J28" s="1046">
        <f t="shared" si="3"/>
        <v>0</v>
      </c>
      <c r="K28" s="1046">
        <f t="shared" si="3"/>
        <v>0</v>
      </c>
      <c r="L28" s="1046"/>
      <c r="M28" s="847">
        <v>110089.78</v>
      </c>
      <c r="N28" s="847">
        <v>0</v>
      </c>
      <c r="O28" s="847">
        <v>0</v>
      </c>
      <c r="P28" s="1046"/>
      <c r="Q28" s="847">
        <v>110089.78</v>
      </c>
      <c r="R28" s="847">
        <v>0</v>
      </c>
      <c r="S28" s="847">
        <v>0</v>
      </c>
    </row>
    <row r="29" spans="1:19">
      <c r="A29" s="1076">
        <f t="shared" si="4"/>
        <v>2.1299999999999972</v>
      </c>
      <c r="B29" s="847" t="s">
        <v>1170</v>
      </c>
      <c r="C29" s="1046">
        <f t="shared" si="0"/>
        <v>0</v>
      </c>
      <c r="D29" s="1046">
        <f t="shared" si="1"/>
        <v>-0.21</v>
      </c>
      <c r="E29" s="1046"/>
      <c r="F29" s="1046"/>
      <c r="G29" s="1046">
        <f t="shared" si="2"/>
        <v>0</v>
      </c>
      <c r="H29" s="1046"/>
      <c r="I29" s="1046">
        <f t="shared" si="3"/>
        <v>-0.105</v>
      </c>
      <c r="J29" s="1046">
        <f t="shared" si="3"/>
        <v>0</v>
      </c>
      <c r="K29" s="1046">
        <f t="shared" si="3"/>
        <v>0</v>
      </c>
      <c r="L29" s="1046"/>
      <c r="M29" s="847">
        <v>0</v>
      </c>
      <c r="N29" s="847">
        <v>0</v>
      </c>
      <c r="O29" s="847">
        <v>0</v>
      </c>
      <c r="P29" s="1046"/>
      <c r="Q29" s="847">
        <v>-0.21</v>
      </c>
      <c r="R29" s="847">
        <v>0</v>
      </c>
      <c r="S29" s="847">
        <v>0</v>
      </c>
    </row>
    <row r="30" spans="1:19">
      <c r="A30" s="1076">
        <f t="shared" si="4"/>
        <v>2.139999999999997</v>
      </c>
      <c r="B30" s="847" t="s">
        <v>1171</v>
      </c>
      <c r="C30" s="1046">
        <f t="shared" si="0"/>
        <v>576.96</v>
      </c>
      <c r="D30" s="1046">
        <f t="shared" si="1"/>
        <v>576.96</v>
      </c>
      <c r="E30" s="1046"/>
      <c r="F30" s="1046"/>
      <c r="G30" s="1046">
        <f t="shared" si="2"/>
        <v>577</v>
      </c>
      <c r="H30" s="1046"/>
      <c r="I30" s="1046">
        <f t="shared" si="3"/>
        <v>0</v>
      </c>
      <c r="J30" s="1046">
        <f t="shared" si="3"/>
        <v>0</v>
      </c>
      <c r="K30" s="1046">
        <f t="shared" si="3"/>
        <v>576.96</v>
      </c>
      <c r="L30" s="1046"/>
      <c r="M30" s="847">
        <v>0</v>
      </c>
      <c r="N30" s="847">
        <v>0</v>
      </c>
      <c r="O30" s="847">
        <v>576.96</v>
      </c>
      <c r="P30" s="1046"/>
      <c r="Q30" s="847">
        <v>0</v>
      </c>
      <c r="R30" s="847">
        <v>0</v>
      </c>
      <c r="S30" s="847">
        <v>576.96</v>
      </c>
    </row>
    <row r="31" spans="1:19">
      <c r="A31" s="1076">
        <f t="shared" si="4"/>
        <v>2.1499999999999968</v>
      </c>
      <c r="B31" s="847" t="s">
        <v>1172</v>
      </c>
      <c r="C31" s="1046">
        <f t="shared" si="0"/>
        <v>0</v>
      </c>
      <c r="D31" s="1046">
        <f t="shared" si="1"/>
        <v>0</v>
      </c>
      <c r="E31" s="1046"/>
      <c r="F31" s="1046"/>
      <c r="G31" s="1046">
        <f t="shared" si="2"/>
        <v>0</v>
      </c>
      <c r="H31" s="1046"/>
      <c r="I31" s="1046">
        <f t="shared" si="3"/>
        <v>0</v>
      </c>
      <c r="J31" s="1046">
        <f t="shared" si="3"/>
        <v>0</v>
      </c>
      <c r="K31" s="1046">
        <f t="shared" si="3"/>
        <v>0</v>
      </c>
      <c r="L31" s="1046"/>
      <c r="M31" s="847">
        <v>0</v>
      </c>
      <c r="N31" s="847">
        <v>0</v>
      </c>
      <c r="O31" s="847">
        <v>0</v>
      </c>
      <c r="P31" s="1046"/>
      <c r="Q31" s="847">
        <v>0</v>
      </c>
      <c r="R31" s="847">
        <v>0</v>
      </c>
      <c r="S31" s="847">
        <v>0</v>
      </c>
    </row>
    <row r="32" spans="1:19">
      <c r="A32" s="1076">
        <f t="shared" si="4"/>
        <v>2.1599999999999966</v>
      </c>
      <c r="B32" s="847" t="s">
        <v>1173</v>
      </c>
      <c r="C32" s="1046">
        <f t="shared" si="0"/>
        <v>-107010.12</v>
      </c>
      <c r="D32" s="1046">
        <f t="shared" si="1"/>
        <v>-107010.12</v>
      </c>
      <c r="E32" s="1046"/>
      <c r="F32" s="1046"/>
      <c r="G32" s="1046">
        <f t="shared" si="2"/>
        <v>-107010</v>
      </c>
      <c r="H32" s="1046"/>
      <c r="I32" s="1046">
        <f t="shared" si="3"/>
        <v>-107010.12</v>
      </c>
      <c r="J32" s="1046">
        <f t="shared" si="3"/>
        <v>0</v>
      </c>
      <c r="K32" s="1046">
        <f t="shared" si="3"/>
        <v>0</v>
      </c>
      <c r="L32" s="1046"/>
      <c r="M32" s="847">
        <v>-107010.12</v>
      </c>
      <c r="N32" s="847">
        <v>0</v>
      </c>
      <c r="O32" s="847">
        <v>0</v>
      </c>
      <c r="P32" s="1046"/>
      <c r="Q32" s="847">
        <v>-107010.12</v>
      </c>
      <c r="R32" s="847">
        <v>0</v>
      </c>
      <c r="S32" s="847">
        <v>0</v>
      </c>
    </row>
    <row r="33" spans="1:19">
      <c r="A33" s="1076">
        <f t="shared" si="4"/>
        <v>2.1699999999999964</v>
      </c>
      <c r="B33" s="847" t="s">
        <v>1174</v>
      </c>
      <c r="C33" s="1046">
        <f t="shared" si="0"/>
        <v>101925.85999999999</v>
      </c>
      <c r="D33" s="1046">
        <f t="shared" si="1"/>
        <v>152219.85999999999</v>
      </c>
      <c r="E33" s="1046"/>
      <c r="F33" s="1046"/>
      <c r="G33" s="1046">
        <f t="shared" si="2"/>
        <v>127073</v>
      </c>
      <c r="H33" s="1046"/>
      <c r="I33" s="1046">
        <f t="shared" si="3"/>
        <v>110413.98999999999</v>
      </c>
      <c r="J33" s="1046">
        <f t="shared" si="3"/>
        <v>2945.7799999999997</v>
      </c>
      <c r="K33" s="1046">
        <f t="shared" si="3"/>
        <v>13713.09</v>
      </c>
      <c r="L33" s="1046"/>
      <c r="M33" s="847">
        <v>84993.73</v>
      </c>
      <c r="N33" s="847">
        <v>3220.23</v>
      </c>
      <c r="O33" s="847">
        <v>13711.9</v>
      </c>
      <c r="P33" s="1046"/>
      <c r="Q33" s="847">
        <v>135834.25</v>
      </c>
      <c r="R33" s="847">
        <v>2671.33</v>
      </c>
      <c r="S33" s="847">
        <v>13714.28</v>
      </c>
    </row>
    <row r="34" spans="1:19">
      <c r="A34" s="1076">
        <f t="shared" si="4"/>
        <v>2.1799999999999962</v>
      </c>
      <c r="B34" s="847" t="s">
        <v>1175</v>
      </c>
      <c r="C34" s="1046">
        <f t="shared" si="0"/>
        <v>-17509.14</v>
      </c>
      <c r="D34" s="1046">
        <f t="shared" si="1"/>
        <v>-3894.8399999999997</v>
      </c>
      <c r="E34" s="1046"/>
      <c r="F34" s="1046"/>
      <c r="G34" s="1046">
        <f t="shared" si="2"/>
        <v>-10702</v>
      </c>
      <c r="H34" s="1046"/>
      <c r="I34" s="1046">
        <f t="shared" si="3"/>
        <v>642.23500000000001</v>
      </c>
      <c r="J34" s="1046">
        <f t="shared" si="3"/>
        <v>0</v>
      </c>
      <c r="K34" s="1046">
        <f t="shared" si="3"/>
        <v>-11344.225</v>
      </c>
      <c r="L34" s="1046"/>
      <c r="M34" s="847">
        <v>485.15</v>
      </c>
      <c r="N34" s="847">
        <v>0</v>
      </c>
      <c r="O34" s="847">
        <v>-17994.29</v>
      </c>
      <c r="P34" s="1046"/>
      <c r="Q34" s="847">
        <v>799.32</v>
      </c>
      <c r="R34" s="847">
        <v>0</v>
      </c>
      <c r="S34" s="847">
        <v>-4694.16</v>
      </c>
    </row>
    <row r="35" spans="1:19">
      <c r="A35" s="1076">
        <f t="shared" si="4"/>
        <v>2.1899999999999959</v>
      </c>
      <c r="B35" s="847" t="s">
        <v>1176</v>
      </c>
      <c r="C35" s="1046">
        <f t="shared" si="0"/>
        <v>45487.89</v>
      </c>
      <c r="D35" s="1046">
        <f t="shared" si="1"/>
        <v>50536.92</v>
      </c>
      <c r="E35" s="1046"/>
      <c r="F35" s="1046"/>
      <c r="G35" s="1046">
        <f t="shared" si="2"/>
        <v>48012</v>
      </c>
      <c r="H35" s="1046"/>
      <c r="I35" s="1046">
        <f t="shared" si="3"/>
        <v>2575.335</v>
      </c>
      <c r="J35" s="1046">
        <f t="shared" si="3"/>
        <v>0</v>
      </c>
      <c r="K35" s="1046">
        <f t="shared" si="3"/>
        <v>45437.07</v>
      </c>
      <c r="L35" s="1046"/>
      <c r="M35" s="847">
        <v>2530.08</v>
      </c>
      <c r="N35" s="847">
        <v>0</v>
      </c>
      <c r="O35" s="847">
        <v>42957.81</v>
      </c>
      <c r="P35" s="1046"/>
      <c r="Q35" s="847">
        <v>2620.59</v>
      </c>
      <c r="R35" s="847">
        <v>0</v>
      </c>
      <c r="S35" s="847">
        <v>47916.33</v>
      </c>
    </row>
    <row r="36" spans="1:19">
      <c r="A36" s="1076">
        <f t="shared" si="4"/>
        <v>2.1999999999999957</v>
      </c>
      <c r="B36" s="847" t="s">
        <v>1177</v>
      </c>
      <c r="C36" s="1046">
        <f t="shared" si="0"/>
        <v>28649.9</v>
      </c>
      <c r="D36" s="1046">
        <f t="shared" si="1"/>
        <v>52087.86</v>
      </c>
      <c r="E36" s="1046"/>
      <c r="F36" s="1046"/>
      <c r="G36" s="1046">
        <f t="shared" si="2"/>
        <v>40369</v>
      </c>
      <c r="H36" s="1046"/>
      <c r="I36" s="1046">
        <f t="shared" si="3"/>
        <v>10562.85</v>
      </c>
      <c r="J36" s="1046">
        <f t="shared" si="3"/>
        <v>0</v>
      </c>
      <c r="K36" s="1046">
        <f t="shared" si="3"/>
        <v>29806.03</v>
      </c>
      <c r="L36" s="1046"/>
      <c r="M36" s="847">
        <v>6471.51</v>
      </c>
      <c r="N36" s="847">
        <v>0</v>
      </c>
      <c r="O36" s="847">
        <v>22178.39</v>
      </c>
      <c r="P36" s="1046"/>
      <c r="Q36" s="847">
        <v>14654.19</v>
      </c>
      <c r="R36" s="847">
        <v>0</v>
      </c>
      <c r="S36" s="847">
        <v>37433.67</v>
      </c>
    </row>
    <row r="37" spans="1:19">
      <c r="A37" s="1076">
        <f t="shared" si="4"/>
        <v>2.2099999999999955</v>
      </c>
      <c r="B37" s="847" t="s">
        <v>1178</v>
      </c>
      <c r="C37" s="1046">
        <f t="shared" si="0"/>
        <v>-0.01</v>
      </c>
      <c r="D37" s="1046">
        <f t="shared" si="1"/>
        <v>-0.01</v>
      </c>
      <c r="E37" s="1046"/>
      <c r="F37" s="1046"/>
      <c r="G37" s="1046">
        <f t="shared" si="2"/>
        <v>0</v>
      </c>
      <c r="H37" s="1046"/>
      <c r="I37" s="1046">
        <f t="shared" si="3"/>
        <v>0</v>
      </c>
      <c r="J37" s="1046">
        <f t="shared" si="3"/>
        <v>0</v>
      </c>
      <c r="K37" s="1046">
        <f t="shared" si="3"/>
        <v>-0.01</v>
      </c>
      <c r="L37" s="1046"/>
      <c r="M37" s="847">
        <v>0</v>
      </c>
      <c r="N37" s="847">
        <v>0</v>
      </c>
      <c r="O37" s="847">
        <v>-0.01</v>
      </c>
      <c r="P37" s="1046"/>
      <c r="Q37" s="847">
        <v>0</v>
      </c>
      <c r="R37" s="847">
        <v>0</v>
      </c>
      <c r="S37" s="847">
        <v>-0.01</v>
      </c>
    </row>
    <row r="38" spans="1:19">
      <c r="A38" s="1076">
        <f t="shared" si="4"/>
        <v>2.2199999999999953</v>
      </c>
      <c r="B38" s="847" t="s">
        <v>1179</v>
      </c>
      <c r="C38" s="1046">
        <f t="shared" si="0"/>
        <v>0.21000000000000002</v>
      </c>
      <c r="D38" s="1046">
        <f t="shared" si="1"/>
        <v>0.21000000000000002</v>
      </c>
      <c r="E38" s="1046"/>
      <c r="F38" s="1046"/>
      <c r="G38" s="1046">
        <f t="shared" si="2"/>
        <v>0</v>
      </c>
      <c r="H38" s="1046"/>
      <c r="I38" s="1046">
        <f t="shared" si="3"/>
        <v>0.01</v>
      </c>
      <c r="J38" s="1046">
        <f t="shared" si="3"/>
        <v>0</v>
      </c>
      <c r="K38" s="1046">
        <f t="shared" si="3"/>
        <v>0.2</v>
      </c>
      <c r="L38" s="1046"/>
      <c r="M38" s="847">
        <v>0.01</v>
      </c>
      <c r="N38" s="847">
        <v>0</v>
      </c>
      <c r="O38" s="847">
        <v>0.2</v>
      </c>
      <c r="P38" s="1046"/>
      <c r="Q38" s="847">
        <v>0.01</v>
      </c>
      <c r="R38" s="847">
        <v>0</v>
      </c>
      <c r="S38" s="847">
        <v>0.2</v>
      </c>
    </row>
    <row r="39" spans="1:19">
      <c r="A39" s="1076">
        <f t="shared" si="4"/>
        <v>2.2299999999999951</v>
      </c>
      <c r="B39" s="847" t="s">
        <v>1180</v>
      </c>
      <c r="C39" s="1046">
        <f t="shared" si="0"/>
        <v>72170.94</v>
      </c>
      <c r="D39" s="1046">
        <f t="shared" si="1"/>
        <v>-84167.86</v>
      </c>
      <c r="E39" s="1046"/>
      <c r="F39" s="1046"/>
      <c r="G39" s="1046">
        <f t="shared" si="2"/>
        <v>-5998</v>
      </c>
      <c r="H39" s="1046"/>
      <c r="I39" s="1046">
        <f t="shared" si="3"/>
        <v>-9159.9850000000006</v>
      </c>
      <c r="J39" s="1046">
        <f t="shared" si="3"/>
        <v>0</v>
      </c>
      <c r="K39" s="1046">
        <f t="shared" si="3"/>
        <v>3161.5250000000015</v>
      </c>
      <c r="L39" s="1046"/>
      <c r="M39" s="847">
        <v>0</v>
      </c>
      <c r="N39" s="847">
        <v>0</v>
      </c>
      <c r="O39" s="847">
        <v>72170.94</v>
      </c>
      <c r="P39" s="1046"/>
      <c r="Q39" s="847">
        <v>-18319.97</v>
      </c>
      <c r="R39" s="847">
        <v>0</v>
      </c>
      <c r="S39" s="847">
        <v>-65847.89</v>
      </c>
    </row>
    <row r="40" spans="1:19">
      <c r="A40" s="1076">
        <f t="shared" si="4"/>
        <v>2.2399999999999949</v>
      </c>
      <c r="B40" s="847" t="s">
        <v>1181</v>
      </c>
      <c r="C40" s="1046">
        <f t="shared" si="0"/>
        <v>248397.82000000004</v>
      </c>
      <c r="D40" s="1046">
        <f t="shared" si="1"/>
        <v>353001.88999999996</v>
      </c>
      <c r="E40" s="1046"/>
      <c r="F40" s="1046"/>
      <c r="G40" s="1046">
        <f t="shared" si="2"/>
        <v>300700</v>
      </c>
      <c r="H40" s="1046"/>
      <c r="I40" s="1046">
        <f t="shared" si="3"/>
        <v>-205533.45500000002</v>
      </c>
      <c r="J40" s="1046">
        <f t="shared" si="3"/>
        <v>-4189.21</v>
      </c>
      <c r="K40" s="1046">
        <f t="shared" si="3"/>
        <v>510422.52</v>
      </c>
      <c r="L40" s="1046"/>
      <c r="M40" s="847">
        <v>-205602.81</v>
      </c>
      <c r="N40" s="847">
        <v>-4189.21</v>
      </c>
      <c r="O40" s="847">
        <v>458189.84</v>
      </c>
      <c r="P40" s="1046"/>
      <c r="Q40" s="847">
        <v>-205464.1</v>
      </c>
      <c r="R40" s="847">
        <v>-4189.21</v>
      </c>
      <c r="S40" s="847">
        <v>562655.19999999995</v>
      </c>
    </row>
    <row r="41" spans="1:19">
      <c r="A41" s="1076">
        <f t="shared" si="4"/>
        <v>2.2499999999999947</v>
      </c>
      <c r="B41" s="847" t="s">
        <v>1182</v>
      </c>
      <c r="C41" s="1046">
        <f t="shared" si="0"/>
        <v>11663.4</v>
      </c>
      <c r="D41" s="1046">
        <f t="shared" si="1"/>
        <v>-15591.24</v>
      </c>
      <c r="E41" s="1046"/>
      <c r="F41" s="1046"/>
      <c r="G41" s="1046">
        <f t="shared" si="2"/>
        <v>-1964</v>
      </c>
      <c r="H41" s="1046"/>
      <c r="I41" s="1046">
        <f t="shared" si="3"/>
        <v>-1963.92</v>
      </c>
      <c r="J41" s="1046">
        <f t="shared" si="3"/>
        <v>0</v>
      </c>
      <c r="K41" s="1046">
        <f t="shared" si="3"/>
        <v>0</v>
      </c>
      <c r="L41" s="1046"/>
      <c r="M41" s="847">
        <v>11663.4</v>
      </c>
      <c r="N41" s="847">
        <v>0</v>
      </c>
      <c r="O41" s="847">
        <v>0</v>
      </c>
      <c r="P41" s="1046"/>
      <c r="Q41" s="847">
        <v>-15591.24</v>
      </c>
      <c r="R41" s="847">
        <v>0</v>
      </c>
      <c r="S41" s="847">
        <v>0</v>
      </c>
    </row>
    <row r="42" spans="1:19">
      <c r="A42" s="1076">
        <f t="shared" si="4"/>
        <v>2.2599999999999945</v>
      </c>
      <c r="B42" s="847" t="s">
        <v>1183</v>
      </c>
      <c r="C42" s="1046">
        <f t="shared" si="0"/>
        <v>0.21</v>
      </c>
      <c r="D42" s="1046">
        <f t="shared" si="1"/>
        <v>0.21</v>
      </c>
      <c r="E42" s="1046"/>
      <c r="F42" s="1046"/>
      <c r="G42" s="1046">
        <f t="shared" si="2"/>
        <v>0</v>
      </c>
      <c r="H42" s="1046"/>
      <c r="I42" s="1046">
        <f t="shared" si="3"/>
        <v>0.21</v>
      </c>
      <c r="J42" s="1046">
        <f t="shared" si="3"/>
        <v>0</v>
      </c>
      <c r="K42" s="1046">
        <f t="shared" si="3"/>
        <v>0</v>
      </c>
      <c r="L42" s="1046"/>
      <c r="M42" s="847">
        <v>0.21</v>
      </c>
      <c r="N42" s="847">
        <v>0</v>
      </c>
      <c r="O42" s="847">
        <v>0</v>
      </c>
      <c r="P42" s="1046"/>
      <c r="Q42" s="847">
        <v>0.21</v>
      </c>
      <c r="R42" s="847">
        <v>0</v>
      </c>
      <c r="S42" s="847">
        <v>0</v>
      </c>
    </row>
    <row r="43" spans="1:19">
      <c r="A43" s="1076">
        <f t="shared" si="4"/>
        <v>2.2699999999999942</v>
      </c>
      <c r="B43" s="847" t="s">
        <v>1184</v>
      </c>
      <c r="C43" s="1046">
        <f t="shared" si="0"/>
        <v>0</v>
      </c>
      <c r="D43" s="1046">
        <f t="shared" si="1"/>
        <v>0</v>
      </c>
      <c r="E43" s="1046"/>
      <c r="F43" s="1046"/>
      <c r="G43" s="1046">
        <f t="shared" si="2"/>
        <v>0</v>
      </c>
      <c r="H43" s="1046"/>
      <c r="I43" s="1046">
        <f t="shared" si="3"/>
        <v>0</v>
      </c>
      <c r="J43" s="1046">
        <f t="shared" si="3"/>
        <v>0</v>
      </c>
      <c r="K43" s="1046">
        <f t="shared" si="3"/>
        <v>0</v>
      </c>
      <c r="L43" s="1046"/>
      <c r="M43" s="847">
        <v>0</v>
      </c>
      <c r="N43" s="847">
        <v>0</v>
      </c>
      <c r="O43" s="847">
        <v>0</v>
      </c>
      <c r="P43" s="1046"/>
      <c r="Q43" s="847">
        <v>0</v>
      </c>
      <c r="R43" s="847">
        <v>0</v>
      </c>
      <c r="S43" s="847">
        <v>0</v>
      </c>
    </row>
    <row r="44" spans="1:19">
      <c r="A44" s="1076">
        <f t="shared" si="4"/>
        <v>2.279999999999994</v>
      </c>
      <c r="B44" s="847" t="s">
        <v>1185</v>
      </c>
      <c r="C44" s="1046">
        <f t="shared" si="0"/>
        <v>4285378.3099999996</v>
      </c>
      <c r="D44" s="1046">
        <f t="shared" si="1"/>
        <v>4409844.1900000004</v>
      </c>
      <c r="E44" s="1046"/>
      <c r="F44" s="1046"/>
      <c r="G44" s="1046">
        <f t="shared" si="2"/>
        <v>4347611</v>
      </c>
      <c r="H44" s="1046"/>
      <c r="I44" s="1046">
        <f t="shared" si="3"/>
        <v>1061974.855</v>
      </c>
      <c r="J44" s="1046">
        <f t="shared" si="3"/>
        <v>-118200.81</v>
      </c>
      <c r="K44" s="1046">
        <f t="shared" si="3"/>
        <v>3403837.2050000001</v>
      </c>
      <c r="L44" s="1046"/>
      <c r="M44" s="847">
        <v>1324384.95</v>
      </c>
      <c r="N44" s="847">
        <v>-118200.81</v>
      </c>
      <c r="O44" s="847">
        <v>3079194.17</v>
      </c>
      <c r="P44" s="1046"/>
      <c r="Q44" s="847">
        <v>799564.76</v>
      </c>
      <c r="R44" s="847">
        <v>-118200.81</v>
      </c>
      <c r="S44" s="847">
        <v>3728480.24</v>
      </c>
    </row>
    <row r="45" spans="1:19">
      <c r="A45" s="1076">
        <f t="shared" si="4"/>
        <v>2.2899999999999938</v>
      </c>
      <c r="B45" s="847" t="s">
        <v>1186</v>
      </c>
      <c r="C45" s="1046">
        <f t="shared" si="0"/>
        <v>2520</v>
      </c>
      <c r="D45" s="1046">
        <f t="shared" si="1"/>
        <v>2520</v>
      </c>
      <c r="E45" s="1046"/>
      <c r="F45" s="1046"/>
      <c r="G45" s="1046">
        <f t="shared" si="2"/>
        <v>2520</v>
      </c>
      <c r="H45" s="1046"/>
      <c r="I45" s="1046">
        <f t="shared" si="3"/>
        <v>0</v>
      </c>
      <c r="J45" s="1046">
        <f t="shared" si="3"/>
        <v>0</v>
      </c>
      <c r="K45" s="1046">
        <f t="shared" si="3"/>
        <v>2520</v>
      </c>
      <c r="L45" s="1046"/>
      <c r="M45" s="847">
        <v>0</v>
      </c>
      <c r="N45" s="847">
        <v>0</v>
      </c>
      <c r="O45" s="847">
        <v>2520</v>
      </c>
      <c r="P45" s="1046"/>
      <c r="Q45" s="847">
        <v>0</v>
      </c>
      <c r="R45" s="847">
        <v>0</v>
      </c>
      <c r="S45" s="847">
        <v>2520</v>
      </c>
    </row>
    <row r="46" spans="1:19">
      <c r="A46" s="1076">
        <f t="shared" si="4"/>
        <v>2.2999999999999936</v>
      </c>
      <c r="B46" s="847" t="s">
        <v>1187</v>
      </c>
      <c r="C46" s="1046">
        <f t="shared" si="0"/>
        <v>1770599.5999999999</v>
      </c>
      <c r="D46" s="1046">
        <f t="shared" si="1"/>
        <v>1852035.47</v>
      </c>
      <c r="E46" s="1046"/>
      <c r="F46" s="1046"/>
      <c r="G46" s="1046">
        <f t="shared" si="2"/>
        <v>1811318</v>
      </c>
      <c r="H46" s="1046"/>
      <c r="I46" s="1046">
        <f t="shared" si="3"/>
        <v>597103.255</v>
      </c>
      <c r="J46" s="1046">
        <f t="shared" si="3"/>
        <v>-59966.81</v>
      </c>
      <c r="K46" s="1046">
        <f t="shared" si="3"/>
        <v>1274181.0899999999</v>
      </c>
      <c r="L46" s="1046"/>
      <c r="M46" s="847">
        <v>577345.23</v>
      </c>
      <c r="N46" s="847">
        <v>-59966.81</v>
      </c>
      <c r="O46" s="847">
        <v>1253221.18</v>
      </c>
      <c r="P46" s="1046"/>
      <c r="Q46" s="847">
        <v>616861.28</v>
      </c>
      <c r="R46" s="847">
        <v>-59966.81</v>
      </c>
      <c r="S46" s="847">
        <v>1295141</v>
      </c>
    </row>
    <row r="47" spans="1:19">
      <c r="A47" s="1076">
        <f t="shared" si="4"/>
        <v>2.3099999999999934</v>
      </c>
      <c r="B47" s="847" t="s">
        <v>1364</v>
      </c>
      <c r="C47" s="1046">
        <f t="shared" ref="C47" si="5">SUM(M47:O47)</f>
        <v>0</v>
      </c>
      <c r="D47" s="1046">
        <f t="shared" ref="D47" si="6">SUM(Q47:S47)</f>
        <v>51263.71</v>
      </c>
      <c r="E47" s="1046"/>
      <c r="F47" s="1046"/>
      <c r="G47" s="1046">
        <f t="shared" ref="G47" si="7">ROUND(SUM(C47:F47)/2,0)</f>
        <v>25632</v>
      </c>
      <c r="H47" s="1046"/>
      <c r="I47" s="1046">
        <f t="shared" ref="I47" si="8">(M47+Q47)/2</f>
        <v>-2369.7350000000001</v>
      </c>
      <c r="J47" s="1046">
        <f t="shared" ref="J47" si="9">(N47+R47)/2</f>
        <v>0</v>
      </c>
      <c r="K47" s="1046">
        <f t="shared" ref="K47" si="10">(O47+S47)/2</f>
        <v>28001.59</v>
      </c>
      <c r="L47" s="1046"/>
      <c r="M47" s="847"/>
      <c r="N47" s="847"/>
      <c r="O47" s="847"/>
      <c r="P47" s="1046"/>
      <c r="Q47" s="847">
        <v>-4739.47</v>
      </c>
      <c r="R47" s="847"/>
      <c r="S47" s="847">
        <v>56003.18</v>
      </c>
    </row>
    <row r="48" spans="1:19">
      <c r="A48" s="1076">
        <f t="shared" si="4"/>
        <v>2.3199999999999932</v>
      </c>
      <c r="B48" s="847" t="s">
        <v>1188</v>
      </c>
      <c r="C48" s="1046">
        <f t="shared" si="0"/>
        <v>68308.429999999993</v>
      </c>
      <c r="D48" s="1046">
        <f t="shared" si="1"/>
        <v>86236.939999999988</v>
      </c>
      <c r="E48" s="1046"/>
      <c r="F48" s="1046"/>
      <c r="G48" s="1046">
        <f t="shared" si="2"/>
        <v>77273</v>
      </c>
      <c r="H48" s="1046"/>
      <c r="I48" s="1046">
        <f t="shared" si="3"/>
        <v>1224.44</v>
      </c>
      <c r="J48" s="1046">
        <f t="shared" si="3"/>
        <v>0</v>
      </c>
      <c r="K48" s="1046">
        <f t="shared" si="3"/>
        <v>76048.244999999995</v>
      </c>
      <c r="L48" s="1046"/>
      <c r="M48" s="847">
        <v>127.48</v>
      </c>
      <c r="N48" s="847">
        <v>0</v>
      </c>
      <c r="O48" s="847">
        <v>68180.95</v>
      </c>
      <c r="P48" s="1046"/>
      <c r="Q48" s="847">
        <v>2321.4</v>
      </c>
      <c r="R48" s="847">
        <v>0</v>
      </c>
      <c r="S48" s="847">
        <v>83915.54</v>
      </c>
    </row>
    <row r="49" spans="1:19">
      <c r="A49" s="1076">
        <f t="shared" si="4"/>
        <v>2.329999999999993</v>
      </c>
      <c r="B49" s="847" t="s">
        <v>1366</v>
      </c>
      <c r="C49" s="1046">
        <f t="shared" ref="C49" si="11">SUM(M49:O49)</f>
        <v>0</v>
      </c>
      <c r="D49" s="1046">
        <f t="shared" ref="D49" si="12">SUM(Q49:S49)</f>
        <v>-36620.480000000003</v>
      </c>
      <c r="E49" s="1046"/>
      <c r="F49" s="1046"/>
      <c r="G49" s="1046">
        <f t="shared" ref="G49" si="13">ROUND(SUM(C49:F49)/2,0)</f>
        <v>-18310</v>
      </c>
      <c r="H49" s="1046"/>
      <c r="I49" s="1046">
        <f t="shared" ref="I49" si="14">(M49+Q49)/2</f>
        <v>0</v>
      </c>
      <c r="J49" s="1046">
        <f t="shared" ref="J49" si="15">(N49+R49)/2</f>
        <v>0</v>
      </c>
      <c r="K49" s="1046">
        <f t="shared" ref="K49" si="16">(O49+S49)/2</f>
        <v>-18310.240000000002</v>
      </c>
      <c r="L49" s="1046"/>
      <c r="M49" s="847">
        <v>0</v>
      </c>
      <c r="N49" s="847">
        <v>0</v>
      </c>
      <c r="O49" s="847">
        <v>0</v>
      </c>
      <c r="P49" s="1046"/>
      <c r="Q49" s="847">
        <v>0</v>
      </c>
      <c r="R49" s="847">
        <v>0</v>
      </c>
      <c r="S49" s="847">
        <v>-36620.480000000003</v>
      </c>
    </row>
    <row r="50" spans="1:19">
      <c r="A50" s="1076">
        <f t="shared" si="4"/>
        <v>2.3399999999999928</v>
      </c>
      <c r="B50" s="847" t="s">
        <v>1189</v>
      </c>
      <c r="C50" s="1046">
        <f t="shared" si="0"/>
        <v>80882.559999999998</v>
      </c>
      <c r="D50" s="1046">
        <f t="shared" si="1"/>
        <v>334963.95999999996</v>
      </c>
      <c r="E50" s="1046"/>
      <c r="F50" s="1046"/>
      <c r="G50" s="1046">
        <f t="shared" si="2"/>
        <v>207923</v>
      </c>
      <c r="H50" s="1046"/>
      <c r="I50" s="1046">
        <f t="shared" si="3"/>
        <v>56737.17</v>
      </c>
      <c r="J50" s="1046">
        <f t="shared" si="3"/>
        <v>0</v>
      </c>
      <c r="K50" s="1046">
        <f t="shared" si="3"/>
        <v>151186.09</v>
      </c>
      <c r="L50" s="1046"/>
      <c r="M50" s="847">
        <v>80882.559999999998</v>
      </c>
      <c r="N50" s="847">
        <v>0</v>
      </c>
      <c r="O50" s="847">
        <v>0</v>
      </c>
      <c r="P50" s="1046"/>
      <c r="Q50" s="847">
        <v>32591.78</v>
      </c>
      <c r="R50" s="847">
        <v>0</v>
      </c>
      <c r="S50" s="847">
        <v>302372.18</v>
      </c>
    </row>
    <row r="51" spans="1:19">
      <c r="A51" s="1076">
        <f t="shared" si="4"/>
        <v>2.3499999999999925</v>
      </c>
      <c r="B51" s="847" t="s">
        <v>1190</v>
      </c>
      <c r="C51" s="1046">
        <f t="shared" si="0"/>
        <v>0</v>
      </c>
      <c r="D51" s="1046">
        <f t="shared" si="1"/>
        <v>0</v>
      </c>
      <c r="E51" s="1046"/>
      <c r="F51" s="1046"/>
      <c r="G51" s="1046">
        <f t="shared" si="2"/>
        <v>0</v>
      </c>
      <c r="H51" s="1046"/>
      <c r="I51" s="1046">
        <f t="shared" ref="I51:K82" si="17">(M51+Q51)/2</f>
        <v>0</v>
      </c>
      <c r="J51" s="1046">
        <f t="shared" si="17"/>
        <v>0</v>
      </c>
      <c r="K51" s="1046">
        <f t="shared" si="17"/>
        <v>0</v>
      </c>
      <c r="L51" s="1046"/>
      <c r="M51" s="847">
        <v>0</v>
      </c>
      <c r="N51" s="847">
        <v>0</v>
      </c>
      <c r="O51" s="847">
        <v>0</v>
      </c>
      <c r="P51" s="1046"/>
      <c r="Q51" s="847">
        <v>0</v>
      </c>
      <c r="R51" s="847">
        <v>0</v>
      </c>
      <c r="S51" s="847">
        <v>0</v>
      </c>
    </row>
    <row r="52" spans="1:19">
      <c r="A52" s="1076">
        <f t="shared" si="4"/>
        <v>2.3599999999999923</v>
      </c>
      <c r="B52" s="847" t="s">
        <v>1191</v>
      </c>
      <c r="C52" s="1046">
        <f t="shared" si="0"/>
        <v>-114849.29999999999</v>
      </c>
      <c r="D52" s="1046">
        <f t="shared" si="1"/>
        <v>-114849.29999999999</v>
      </c>
      <c r="E52" s="1046"/>
      <c r="F52" s="1046"/>
      <c r="G52" s="1046">
        <f t="shared" si="2"/>
        <v>-114849</v>
      </c>
      <c r="H52" s="1046"/>
      <c r="I52" s="1046">
        <f t="shared" si="17"/>
        <v>-57540</v>
      </c>
      <c r="J52" s="1046">
        <f t="shared" si="17"/>
        <v>-22869.03</v>
      </c>
      <c r="K52" s="1046">
        <f t="shared" si="17"/>
        <v>-34440.26999999999</v>
      </c>
      <c r="L52" s="1046"/>
      <c r="M52" s="847">
        <v>-57540</v>
      </c>
      <c r="N52" s="847">
        <v>-22869.03</v>
      </c>
      <c r="O52" s="847">
        <v>-34440.269999999997</v>
      </c>
      <c r="P52" s="1046"/>
      <c r="Q52" s="847">
        <v>-57540</v>
      </c>
      <c r="R52" s="847">
        <v>-22869.03</v>
      </c>
      <c r="S52" s="847">
        <v>-34440.26999999999</v>
      </c>
    </row>
    <row r="53" spans="1:19">
      <c r="A53" s="1076">
        <f t="shared" si="4"/>
        <v>2.3699999999999921</v>
      </c>
      <c r="B53" s="847" t="s">
        <v>1192</v>
      </c>
      <c r="C53" s="1046">
        <f t="shared" si="0"/>
        <v>0</v>
      </c>
      <c r="D53" s="1046">
        <f t="shared" si="1"/>
        <v>0</v>
      </c>
      <c r="E53" s="1046"/>
      <c r="F53" s="1046"/>
      <c r="G53" s="1046">
        <f t="shared" si="2"/>
        <v>0</v>
      </c>
      <c r="H53" s="1046"/>
      <c r="I53" s="1046">
        <f t="shared" si="17"/>
        <v>0</v>
      </c>
      <c r="J53" s="1046">
        <f t="shared" si="17"/>
        <v>0</v>
      </c>
      <c r="K53" s="1046">
        <f t="shared" si="17"/>
        <v>0</v>
      </c>
      <c r="L53" s="1046"/>
      <c r="M53" s="847">
        <v>0</v>
      </c>
      <c r="N53" s="847">
        <v>0</v>
      </c>
      <c r="O53" s="847">
        <v>0</v>
      </c>
      <c r="P53" s="1046"/>
      <c r="Q53" s="847">
        <v>0</v>
      </c>
      <c r="R53" s="847">
        <v>0</v>
      </c>
      <c r="S53" s="847">
        <v>0</v>
      </c>
    </row>
    <row r="54" spans="1:19">
      <c r="A54" s="1076">
        <f t="shared" si="4"/>
        <v>2.3799999999999919</v>
      </c>
      <c r="B54" s="847" t="s">
        <v>1193</v>
      </c>
      <c r="C54" s="1046">
        <f t="shared" si="0"/>
        <v>29674.25999999998</v>
      </c>
      <c r="D54" s="1046">
        <f t="shared" si="1"/>
        <v>29674.25999999998</v>
      </c>
      <c r="E54" s="1046"/>
      <c r="F54" s="1046"/>
      <c r="G54" s="1046">
        <f t="shared" si="2"/>
        <v>29674</v>
      </c>
      <c r="H54" s="1046"/>
      <c r="I54" s="1046">
        <f t="shared" si="17"/>
        <v>0</v>
      </c>
      <c r="J54" s="1046">
        <f t="shared" si="17"/>
        <v>-144209.1</v>
      </c>
      <c r="K54" s="1046">
        <f t="shared" si="17"/>
        <v>173883.36</v>
      </c>
      <c r="L54" s="1046"/>
      <c r="M54" s="847">
        <v>0</v>
      </c>
      <c r="N54" s="847">
        <v>-144209.1</v>
      </c>
      <c r="O54" s="847">
        <v>173883.36</v>
      </c>
      <c r="P54" s="1046"/>
      <c r="Q54" s="847">
        <v>0</v>
      </c>
      <c r="R54" s="847">
        <v>-144209.1</v>
      </c>
      <c r="S54" s="847">
        <v>173883.36</v>
      </c>
    </row>
    <row r="55" spans="1:19">
      <c r="A55" s="1076">
        <f t="shared" si="4"/>
        <v>2.3899999999999917</v>
      </c>
      <c r="B55" s="847" t="s">
        <v>1194</v>
      </c>
      <c r="C55" s="1046">
        <f t="shared" si="0"/>
        <v>0</v>
      </c>
      <c r="D55" s="1046">
        <f t="shared" si="1"/>
        <v>0</v>
      </c>
      <c r="E55" s="1046"/>
      <c r="F55" s="1046"/>
      <c r="G55" s="1046">
        <f t="shared" si="2"/>
        <v>0</v>
      </c>
      <c r="H55" s="1046"/>
      <c r="I55" s="1046">
        <f t="shared" si="17"/>
        <v>0</v>
      </c>
      <c r="J55" s="1046">
        <f t="shared" si="17"/>
        <v>0</v>
      </c>
      <c r="K55" s="1046">
        <f t="shared" si="17"/>
        <v>0</v>
      </c>
      <c r="L55" s="1046"/>
      <c r="M55" s="847">
        <v>0</v>
      </c>
      <c r="N55" s="847">
        <v>0</v>
      </c>
      <c r="O55" s="847">
        <v>0</v>
      </c>
      <c r="P55" s="1046"/>
      <c r="Q55" s="847">
        <v>0</v>
      </c>
      <c r="R55" s="847">
        <v>0</v>
      </c>
      <c r="S55" s="847">
        <v>0</v>
      </c>
    </row>
    <row r="56" spans="1:19">
      <c r="A56" s="1076">
        <f t="shared" si="4"/>
        <v>2.3999999999999915</v>
      </c>
      <c r="B56" s="847" t="s">
        <v>1195</v>
      </c>
      <c r="C56" s="1046">
        <f t="shared" si="0"/>
        <v>0</v>
      </c>
      <c r="D56" s="1046">
        <f t="shared" si="1"/>
        <v>0</v>
      </c>
      <c r="E56" s="1046"/>
      <c r="F56" s="1046"/>
      <c r="G56" s="1046">
        <f t="shared" si="2"/>
        <v>0</v>
      </c>
      <c r="H56" s="1046"/>
      <c r="I56" s="1046">
        <f t="shared" si="17"/>
        <v>0</v>
      </c>
      <c r="J56" s="1046">
        <f t="shared" si="17"/>
        <v>0</v>
      </c>
      <c r="K56" s="1046">
        <f t="shared" si="17"/>
        <v>0</v>
      </c>
      <c r="L56" s="1046"/>
      <c r="M56" s="847">
        <v>0</v>
      </c>
      <c r="N56" s="847">
        <v>0</v>
      </c>
      <c r="O56" s="847">
        <v>0</v>
      </c>
      <c r="P56" s="1046"/>
      <c r="Q56" s="847">
        <v>0</v>
      </c>
      <c r="R56" s="847">
        <v>0</v>
      </c>
      <c r="S56" s="847">
        <v>0</v>
      </c>
    </row>
    <row r="57" spans="1:19">
      <c r="A57" s="1076">
        <f t="shared" si="4"/>
        <v>2.4099999999999913</v>
      </c>
      <c r="B57" s="847" t="s">
        <v>1196</v>
      </c>
      <c r="C57" s="1046">
        <f t="shared" si="0"/>
        <v>109480.2</v>
      </c>
      <c r="D57" s="1046">
        <f t="shared" si="1"/>
        <v>109480.2</v>
      </c>
      <c r="E57" s="1046"/>
      <c r="F57" s="1046"/>
      <c r="G57" s="1046">
        <f t="shared" si="2"/>
        <v>109480</v>
      </c>
      <c r="H57" s="1046"/>
      <c r="I57" s="1046">
        <f t="shared" si="17"/>
        <v>109480.2</v>
      </c>
      <c r="J57" s="1046">
        <f t="shared" si="17"/>
        <v>0</v>
      </c>
      <c r="K57" s="1046">
        <f t="shared" si="17"/>
        <v>0</v>
      </c>
      <c r="L57" s="1046"/>
      <c r="M57" s="847">
        <v>109480.2</v>
      </c>
      <c r="N57" s="847">
        <v>0</v>
      </c>
      <c r="O57" s="847">
        <v>0</v>
      </c>
      <c r="P57" s="1046"/>
      <c r="Q57" s="847">
        <v>109480.2</v>
      </c>
      <c r="R57" s="847">
        <v>0</v>
      </c>
      <c r="S57" s="847">
        <v>0</v>
      </c>
    </row>
    <row r="58" spans="1:19">
      <c r="A58" s="1076">
        <f t="shared" si="4"/>
        <v>2.419999999999991</v>
      </c>
      <c r="B58" s="847" t="s">
        <v>1197</v>
      </c>
      <c r="C58" s="1046">
        <f t="shared" si="0"/>
        <v>0</v>
      </c>
      <c r="D58" s="1046">
        <f t="shared" si="1"/>
        <v>0</v>
      </c>
      <c r="E58" s="1046"/>
      <c r="F58" s="1046"/>
      <c r="G58" s="1046">
        <f t="shared" si="2"/>
        <v>0</v>
      </c>
      <c r="H58" s="1046"/>
      <c r="I58" s="1046">
        <f t="shared" si="17"/>
        <v>0</v>
      </c>
      <c r="J58" s="1046">
        <f t="shared" si="17"/>
        <v>0</v>
      </c>
      <c r="K58" s="1046">
        <f t="shared" si="17"/>
        <v>0</v>
      </c>
      <c r="L58" s="1046"/>
      <c r="M58" s="847">
        <v>0</v>
      </c>
      <c r="N58" s="847">
        <v>0</v>
      </c>
      <c r="O58" s="847">
        <v>0</v>
      </c>
      <c r="P58" s="1046"/>
      <c r="Q58" s="847">
        <v>0</v>
      </c>
      <c r="R58" s="847">
        <v>0</v>
      </c>
      <c r="S58" s="847">
        <v>0</v>
      </c>
    </row>
    <row r="59" spans="1:19">
      <c r="A59" s="1076">
        <f t="shared" si="4"/>
        <v>2.4299999999999908</v>
      </c>
      <c r="B59" s="847" t="s">
        <v>1198</v>
      </c>
      <c r="C59" s="1046">
        <f t="shared" si="0"/>
        <v>912607.3</v>
      </c>
      <c r="D59" s="1046">
        <f t="shared" si="1"/>
        <v>854707.79</v>
      </c>
      <c r="E59" s="1046"/>
      <c r="F59" s="1046"/>
      <c r="G59" s="1046">
        <f t="shared" si="2"/>
        <v>883658</v>
      </c>
      <c r="H59" s="1046"/>
      <c r="I59" s="1046">
        <f t="shared" si="17"/>
        <v>883657.54500000004</v>
      </c>
      <c r="J59" s="1046">
        <f t="shared" si="17"/>
        <v>0</v>
      </c>
      <c r="K59" s="1046">
        <f t="shared" si="17"/>
        <v>0</v>
      </c>
      <c r="L59" s="1046"/>
      <c r="M59" s="847">
        <v>912607.3</v>
      </c>
      <c r="N59" s="847">
        <v>0</v>
      </c>
      <c r="O59" s="847">
        <v>0</v>
      </c>
      <c r="P59" s="1046"/>
      <c r="Q59" s="847">
        <v>854707.79</v>
      </c>
      <c r="R59" s="847">
        <v>0</v>
      </c>
      <c r="S59" s="847">
        <v>0</v>
      </c>
    </row>
    <row r="60" spans="1:19">
      <c r="A60" s="1076">
        <f t="shared" si="4"/>
        <v>2.4399999999999906</v>
      </c>
      <c r="B60" s="847" t="s">
        <v>1199</v>
      </c>
      <c r="C60" s="1046">
        <f t="shared" si="0"/>
        <v>-0.11</v>
      </c>
      <c r="D60" s="1046">
        <f t="shared" si="1"/>
        <v>-0.11</v>
      </c>
      <c r="E60" s="1046"/>
      <c r="F60" s="1046"/>
      <c r="G60" s="1046">
        <f t="shared" si="2"/>
        <v>0</v>
      </c>
      <c r="H60" s="1046"/>
      <c r="I60" s="1046">
        <f t="shared" si="17"/>
        <v>-0.11</v>
      </c>
      <c r="J60" s="1046">
        <f t="shared" si="17"/>
        <v>0</v>
      </c>
      <c r="K60" s="1046">
        <f t="shared" si="17"/>
        <v>0</v>
      </c>
      <c r="L60" s="1046"/>
      <c r="M60" s="847">
        <v>-0.11</v>
      </c>
      <c r="N60" s="847">
        <v>0</v>
      </c>
      <c r="O60" s="847">
        <v>0</v>
      </c>
      <c r="P60" s="1046"/>
      <c r="Q60" s="847">
        <v>-0.11</v>
      </c>
      <c r="R60" s="847">
        <v>0</v>
      </c>
      <c r="S60" s="847">
        <v>0</v>
      </c>
    </row>
    <row r="61" spans="1:19">
      <c r="A61" s="1076">
        <f t="shared" si="4"/>
        <v>2.4499999999999904</v>
      </c>
      <c r="B61" s="847" t="s">
        <v>1365</v>
      </c>
      <c r="C61" s="1046">
        <f t="shared" si="0"/>
        <v>0</v>
      </c>
      <c r="D61" s="1046">
        <f t="shared" si="1"/>
        <v>1189808.3599999999</v>
      </c>
      <c r="E61" s="1046"/>
      <c r="F61" s="1046"/>
      <c r="G61" s="1046">
        <f t="shared" si="2"/>
        <v>594904</v>
      </c>
      <c r="H61" s="1046"/>
      <c r="I61" s="1046">
        <f t="shared" si="17"/>
        <v>232918.2</v>
      </c>
      <c r="J61" s="1046">
        <f t="shared" si="17"/>
        <v>0</v>
      </c>
      <c r="K61" s="1046">
        <f t="shared" si="17"/>
        <v>361985.98</v>
      </c>
      <c r="L61" s="1046"/>
      <c r="M61" s="847">
        <v>0</v>
      </c>
      <c r="N61" s="847">
        <v>0</v>
      </c>
      <c r="O61" s="847">
        <v>0</v>
      </c>
      <c r="P61" s="1046"/>
      <c r="Q61" s="847">
        <v>465836.4</v>
      </c>
      <c r="R61" s="847">
        <v>0</v>
      </c>
      <c r="S61" s="847">
        <v>723971.96</v>
      </c>
    </row>
    <row r="62" spans="1:19">
      <c r="A62" s="1076">
        <f t="shared" si="4"/>
        <v>2.4599999999999902</v>
      </c>
      <c r="B62" s="847" t="s">
        <v>1200</v>
      </c>
      <c r="C62" s="1046">
        <f t="shared" si="0"/>
        <v>0</v>
      </c>
      <c r="D62" s="1046">
        <f t="shared" si="1"/>
        <v>0</v>
      </c>
      <c r="E62" s="1046"/>
      <c r="F62" s="1046"/>
      <c r="G62" s="1046">
        <f t="shared" si="2"/>
        <v>0</v>
      </c>
      <c r="H62" s="1046"/>
      <c r="I62" s="1046">
        <f t="shared" si="17"/>
        <v>0</v>
      </c>
      <c r="J62" s="1046">
        <f t="shared" si="17"/>
        <v>0</v>
      </c>
      <c r="K62" s="1046">
        <f t="shared" si="17"/>
        <v>0</v>
      </c>
      <c r="L62" s="1046"/>
      <c r="M62" s="847">
        <v>0</v>
      </c>
      <c r="N62" s="847">
        <v>0</v>
      </c>
      <c r="O62" s="847">
        <v>0</v>
      </c>
      <c r="P62" s="1046"/>
      <c r="Q62" s="847">
        <v>0</v>
      </c>
      <c r="R62" s="847">
        <v>0</v>
      </c>
      <c r="S62" s="847">
        <v>0</v>
      </c>
    </row>
    <row r="63" spans="1:19">
      <c r="A63" s="1076">
        <f t="shared" si="4"/>
        <v>2.46999999999999</v>
      </c>
      <c r="B63" s="847" t="s">
        <v>1201</v>
      </c>
      <c r="C63" s="1046">
        <f t="shared" si="0"/>
        <v>77273.279999999999</v>
      </c>
      <c r="D63" s="1046">
        <f t="shared" si="1"/>
        <v>40282.46</v>
      </c>
      <c r="E63" s="1046"/>
      <c r="F63" s="1046"/>
      <c r="G63" s="1046">
        <f t="shared" si="2"/>
        <v>58778</v>
      </c>
      <c r="H63" s="1046"/>
      <c r="I63" s="1046">
        <f t="shared" si="17"/>
        <v>0</v>
      </c>
      <c r="J63" s="1046">
        <f t="shared" si="17"/>
        <v>58777.869999999995</v>
      </c>
      <c r="K63" s="1046">
        <f t="shared" si="17"/>
        <v>0</v>
      </c>
      <c r="L63" s="1046"/>
      <c r="M63" s="847">
        <v>0</v>
      </c>
      <c r="N63" s="847">
        <v>77273.279999999999</v>
      </c>
      <c r="O63" s="847">
        <v>0</v>
      </c>
      <c r="P63" s="1046"/>
      <c r="Q63" s="847">
        <v>0</v>
      </c>
      <c r="R63" s="847">
        <v>40282.46</v>
      </c>
      <c r="S63" s="847">
        <v>0</v>
      </c>
    </row>
    <row r="64" spans="1:19">
      <c r="A64" s="1076">
        <f t="shared" si="4"/>
        <v>2.4799999999999898</v>
      </c>
      <c r="B64" s="847" t="s">
        <v>1365</v>
      </c>
      <c r="C64" s="1046">
        <f t="shared" si="0"/>
        <v>0</v>
      </c>
      <c r="D64" s="1046">
        <f t="shared" si="1"/>
        <v>45.67</v>
      </c>
      <c r="E64" s="1046"/>
      <c r="F64" s="1046"/>
      <c r="G64" s="1046">
        <f t="shared" si="2"/>
        <v>23</v>
      </c>
      <c r="H64" s="1046"/>
      <c r="I64" s="1046">
        <f t="shared" si="17"/>
        <v>0</v>
      </c>
      <c r="J64" s="1046">
        <f t="shared" si="17"/>
        <v>22.835000000000001</v>
      </c>
      <c r="K64" s="1046">
        <f t="shared" si="17"/>
        <v>0</v>
      </c>
      <c r="L64" s="1046"/>
      <c r="M64" s="847">
        <v>0</v>
      </c>
      <c r="N64" s="847">
        <v>0</v>
      </c>
      <c r="O64" s="847">
        <v>0</v>
      </c>
      <c r="P64" s="1046"/>
      <c r="Q64" s="847">
        <v>0</v>
      </c>
      <c r="R64" s="847">
        <v>45.67</v>
      </c>
      <c r="S64" s="847">
        <v>0</v>
      </c>
    </row>
    <row r="65" spans="1:19">
      <c r="A65" s="1076">
        <f t="shared" si="4"/>
        <v>2.4899999999999896</v>
      </c>
      <c r="B65" s="847" t="s">
        <v>1202</v>
      </c>
      <c r="C65" s="1046">
        <f t="shared" si="0"/>
        <v>7995.42</v>
      </c>
      <c r="D65" s="1046">
        <f t="shared" si="1"/>
        <v>7995.42</v>
      </c>
      <c r="E65" s="1046"/>
      <c r="F65" s="1046"/>
      <c r="G65" s="1046">
        <f t="shared" si="2"/>
        <v>7995</v>
      </c>
      <c r="H65" s="1046"/>
      <c r="I65" s="1046">
        <f t="shared" si="17"/>
        <v>7995.42</v>
      </c>
      <c r="J65" s="1046">
        <f t="shared" si="17"/>
        <v>0</v>
      </c>
      <c r="K65" s="1046">
        <f t="shared" si="17"/>
        <v>0</v>
      </c>
      <c r="L65" s="1046"/>
      <c r="M65" s="847">
        <v>7995.42</v>
      </c>
      <c r="N65" s="847">
        <v>0</v>
      </c>
      <c r="O65" s="847">
        <v>0</v>
      </c>
      <c r="P65" s="1046"/>
      <c r="Q65" s="847">
        <v>7995.42</v>
      </c>
      <c r="R65" s="847">
        <v>0</v>
      </c>
      <c r="S65" s="847">
        <v>0</v>
      </c>
    </row>
    <row r="66" spans="1:19">
      <c r="A66" s="1076">
        <f t="shared" si="4"/>
        <v>2.4999999999999893</v>
      </c>
      <c r="B66" s="847" t="s">
        <v>1203</v>
      </c>
      <c r="C66" s="1046">
        <f t="shared" si="0"/>
        <v>9328.59</v>
      </c>
      <c r="D66" s="1046">
        <f t="shared" si="1"/>
        <v>9328.59</v>
      </c>
      <c r="E66" s="1046"/>
      <c r="F66" s="1046"/>
      <c r="G66" s="1046">
        <f t="shared" si="2"/>
        <v>9329</v>
      </c>
      <c r="H66" s="1046"/>
      <c r="I66" s="1046">
        <f t="shared" si="17"/>
        <v>9328.59</v>
      </c>
      <c r="J66" s="1046">
        <f t="shared" si="17"/>
        <v>0</v>
      </c>
      <c r="K66" s="1046">
        <f t="shared" si="17"/>
        <v>0</v>
      </c>
      <c r="L66" s="1046"/>
      <c r="M66" s="847">
        <v>9328.59</v>
      </c>
      <c r="N66" s="847">
        <v>0</v>
      </c>
      <c r="O66" s="847">
        <v>0</v>
      </c>
      <c r="P66" s="1046"/>
      <c r="Q66" s="847">
        <v>9328.59</v>
      </c>
      <c r="R66" s="847">
        <v>0</v>
      </c>
      <c r="S66" s="847">
        <v>0</v>
      </c>
    </row>
    <row r="67" spans="1:19">
      <c r="A67" s="1076">
        <f t="shared" si="4"/>
        <v>2.5099999999999891</v>
      </c>
      <c r="B67" s="847" t="s">
        <v>1204</v>
      </c>
      <c r="C67" s="1046">
        <f t="shared" si="0"/>
        <v>59167.42</v>
      </c>
      <c r="D67" s="1046">
        <f t="shared" si="1"/>
        <v>59167.42</v>
      </c>
      <c r="E67" s="1046"/>
      <c r="F67" s="1046"/>
      <c r="G67" s="1046">
        <f t="shared" si="2"/>
        <v>59167</v>
      </c>
      <c r="H67" s="1046"/>
      <c r="I67" s="1046">
        <f t="shared" si="17"/>
        <v>59167.42</v>
      </c>
      <c r="J67" s="1046">
        <f t="shared" si="17"/>
        <v>0</v>
      </c>
      <c r="K67" s="1046">
        <f t="shared" si="17"/>
        <v>0</v>
      </c>
      <c r="L67" s="1046"/>
      <c r="M67" s="847">
        <v>59167.42</v>
      </c>
      <c r="N67" s="847">
        <v>0</v>
      </c>
      <c r="O67" s="847">
        <v>0</v>
      </c>
      <c r="P67" s="1046"/>
      <c r="Q67" s="847">
        <v>59167.42</v>
      </c>
      <c r="R67" s="847">
        <v>0</v>
      </c>
      <c r="S67" s="847">
        <v>0</v>
      </c>
    </row>
    <row r="68" spans="1:19">
      <c r="A68" s="1076">
        <f t="shared" si="4"/>
        <v>2.5199999999999889</v>
      </c>
      <c r="B68" s="847" t="s">
        <v>1205</v>
      </c>
      <c r="C68" s="1046">
        <f t="shared" si="0"/>
        <v>3704.03</v>
      </c>
      <c r="D68" s="1046">
        <f t="shared" si="1"/>
        <v>3704.03</v>
      </c>
      <c r="E68" s="1046"/>
      <c r="F68" s="1046"/>
      <c r="G68" s="1046">
        <f t="shared" si="2"/>
        <v>3704</v>
      </c>
      <c r="H68" s="1046"/>
      <c r="I68" s="1046">
        <f t="shared" si="17"/>
        <v>3704.03</v>
      </c>
      <c r="J68" s="1046">
        <f t="shared" si="17"/>
        <v>0</v>
      </c>
      <c r="K68" s="1046">
        <f t="shared" si="17"/>
        <v>0</v>
      </c>
      <c r="L68" s="1046"/>
      <c r="M68" s="847">
        <v>3704.03</v>
      </c>
      <c r="N68" s="847">
        <v>0</v>
      </c>
      <c r="O68" s="847">
        <v>0</v>
      </c>
      <c r="P68" s="1046"/>
      <c r="Q68" s="847">
        <v>3704.03</v>
      </c>
      <c r="R68" s="847">
        <v>0</v>
      </c>
      <c r="S68" s="847">
        <v>0</v>
      </c>
    </row>
    <row r="69" spans="1:19">
      <c r="A69" s="1076">
        <f t="shared" si="4"/>
        <v>2.5299999999999887</v>
      </c>
      <c r="B69" s="847" t="s">
        <v>1206</v>
      </c>
      <c r="C69" s="1046">
        <f t="shared" si="0"/>
        <v>96264.6</v>
      </c>
      <c r="D69" s="1046">
        <f t="shared" si="1"/>
        <v>96264.6</v>
      </c>
      <c r="E69" s="1046"/>
      <c r="F69" s="1046"/>
      <c r="G69" s="1046">
        <f t="shared" si="2"/>
        <v>96265</v>
      </c>
      <c r="H69" s="1046"/>
      <c r="I69" s="1046">
        <f t="shared" si="17"/>
        <v>96264.6</v>
      </c>
      <c r="J69" s="1046">
        <f t="shared" si="17"/>
        <v>0</v>
      </c>
      <c r="K69" s="1046">
        <f t="shared" si="17"/>
        <v>0</v>
      </c>
      <c r="L69" s="1046"/>
      <c r="M69" s="847">
        <v>96264.6</v>
      </c>
      <c r="N69" s="847">
        <v>0</v>
      </c>
      <c r="O69" s="847">
        <v>0</v>
      </c>
      <c r="P69" s="1046"/>
      <c r="Q69" s="847">
        <v>96264.6</v>
      </c>
      <c r="R69" s="847">
        <v>0</v>
      </c>
      <c r="S69" s="847">
        <v>0</v>
      </c>
    </row>
    <row r="70" spans="1:19">
      <c r="A70" s="1076">
        <f t="shared" si="4"/>
        <v>2.5399999999999885</v>
      </c>
      <c r="B70" s="847" t="s">
        <v>1207</v>
      </c>
      <c r="C70" s="1046">
        <f t="shared" si="0"/>
        <v>228013.71</v>
      </c>
      <c r="D70" s="1046">
        <f t="shared" si="1"/>
        <v>228013.71</v>
      </c>
      <c r="E70" s="1046"/>
      <c r="F70" s="1046"/>
      <c r="G70" s="1046">
        <f t="shared" si="2"/>
        <v>228014</v>
      </c>
      <c r="H70" s="1046"/>
      <c r="I70" s="1046">
        <f t="shared" si="17"/>
        <v>228013.71</v>
      </c>
      <c r="J70" s="1046">
        <f t="shared" si="17"/>
        <v>0</v>
      </c>
      <c r="K70" s="1046">
        <f t="shared" si="17"/>
        <v>0</v>
      </c>
      <c r="L70" s="1046"/>
      <c r="M70" s="847">
        <v>228013.71</v>
      </c>
      <c r="N70" s="847">
        <v>0</v>
      </c>
      <c r="O70" s="847">
        <v>0</v>
      </c>
      <c r="P70" s="1046"/>
      <c r="Q70" s="847">
        <v>228013.71</v>
      </c>
      <c r="R70" s="847">
        <v>0</v>
      </c>
      <c r="S70" s="847">
        <v>0</v>
      </c>
    </row>
    <row r="71" spans="1:19">
      <c r="A71" s="1076">
        <f t="shared" si="4"/>
        <v>2.5499999999999883</v>
      </c>
      <c r="B71" s="847" t="s">
        <v>1208</v>
      </c>
      <c r="C71" s="1046">
        <f t="shared" si="0"/>
        <v>-75087</v>
      </c>
      <c r="D71" s="1046">
        <f t="shared" si="1"/>
        <v>-75087</v>
      </c>
      <c r="E71" s="1046"/>
      <c r="F71" s="1046"/>
      <c r="G71" s="1046">
        <f t="shared" si="2"/>
        <v>-75087</v>
      </c>
      <c r="H71" s="1046"/>
      <c r="I71" s="1046">
        <f t="shared" si="17"/>
        <v>-75087</v>
      </c>
      <c r="J71" s="1046">
        <f t="shared" si="17"/>
        <v>0</v>
      </c>
      <c r="K71" s="1046">
        <f t="shared" si="17"/>
        <v>0</v>
      </c>
      <c r="L71" s="1046"/>
      <c r="M71" s="847">
        <v>-75087</v>
      </c>
      <c r="N71" s="847">
        <v>0</v>
      </c>
      <c r="O71" s="847">
        <v>0</v>
      </c>
      <c r="P71" s="1046"/>
      <c r="Q71" s="847">
        <v>-75087</v>
      </c>
      <c r="R71" s="847">
        <v>0</v>
      </c>
      <c r="S71" s="847">
        <v>0</v>
      </c>
    </row>
    <row r="72" spans="1:19">
      <c r="A72" s="1076">
        <f t="shared" si="4"/>
        <v>2.5599999999999881</v>
      </c>
      <c r="B72" s="847" t="s">
        <v>1209</v>
      </c>
      <c r="C72" s="1046">
        <f t="shared" si="0"/>
        <v>479602.95</v>
      </c>
      <c r="D72" s="1046">
        <f t="shared" si="1"/>
        <v>390760.6</v>
      </c>
      <c r="E72" s="1046"/>
      <c r="F72" s="1046"/>
      <c r="G72" s="1046">
        <f t="shared" si="2"/>
        <v>435182</v>
      </c>
      <c r="H72" s="1046"/>
      <c r="I72" s="1046">
        <f t="shared" si="17"/>
        <v>0</v>
      </c>
      <c r="J72" s="1046">
        <f t="shared" si="17"/>
        <v>0</v>
      </c>
      <c r="K72" s="1046">
        <f t="shared" si="17"/>
        <v>435181.77500000002</v>
      </c>
      <c r="L72" s="1046"/>
      <c r="M72" s="847">
        <v>0</v>
      </c>
      <c r="N72" s="847">
        <v>0</v>
      </c>
      <c r="O72" s="847">
        <v>479602.95</v>
      </c>
      <c r="P72" s="1046"/>
      <c r="Q72" s="847">
        <v>0</v>
      </c>
      <c r="R72" s="847">
        <v>0</v>
      </c>
      <c r="S72" s="847">
        <v>390760.6</v>
      </c>
    </row>
    <row r="73" spans="1:19">
      <c r="A73" s="1076">
        <f t="shared" si="4"/>
        <v>2.5699999999999878</v>
      </c>
      <c r="B73" s="847" t="s">
        <v>1210</v>
      </c>
      <c r="C73" s="1046">
        <f t="shared" si="0"/>
        <v>116014.81</v>
      </c>
      <c r="D73" s="1046">
        <f t="shared" si="1"/>
        <v>77343.320000000007</v>
      </c>
      <c r="E73" s="1046"/>
      <c r="F73" s="1046"/>
      <c r="G73" s="1046">
        <f t="shared" si="2"/>
        <v>96679</v>
      </c>
      <c r="H73" s="1046"/>
      <c r="I73" s="1046">
        <f t="shared" si="17"/>
        <v>0</v>
      </c>
      <c r="J73" s="1046">
        <f t="shared" si="17"/>
        <v>96679.065000000002</v>
      </c>
      <c r="K73" s="1046">
        <f t="shared" si="17"/>
        <v>0</v>
      </c>
      <c r="L73" s="1046"/>
      <c r="M73" s="847">
        <v>0</v>
      </c>
      <c r="N73" s="847">
        <v>116014.81</v>
      </c>
      <c r="O73" s="847">
        <v>0</v>
      </c>
      <c r="P73" s="1046"/>
      <c r="Q73" s="847">
        <v>0</v>
      </c>
      <c r="R73" s="847">
        <v>77343.320000000007</v>
      </c>
      <c r="S73" s="847">
        <v>0</v>
      </c>
    </row>
    <row r="74" spans="1:19">
      <c r="A74" s="1076">
        <f t="shared" si="4"/>
        <v>2.5799999999999876</v>
      </c>
      <c r="B74" s="847" t="s">
        <v>1211</v>
      </c>
      <c r="C74" s="1046">
        <f t="shared" si="0"/>
        <v>1943468.68</v>
      </c>
      <c r="D74" s="1046">
        <f t="shared" si="1"/>
        <v>1096232.98</v>
      </c>
      <c r="E74" s="1046"/>
      <c r="F74" s="1046"/>
      <c r="G74" s="1046">
        <f t="shared" si="2"/>
        <v>1519851</v>
      </c>
      <c r="H74" s="1046"/>
      <c r="I74" s="1046">
        <f t="shared" si="17"/>
        <v>1519850.83</v>
      </c>
      <c r="J74" s="1046">
        <f t="shared" si="17"/>
        <v>0</v>
      </c>
      <c r="K74" s="1046">
        <f t="shared" si="17"/>
        <v>0</v>
      </c>
      <c r="L74" s="1046"/>
      <c r="M74" s="847">
        <v>1943468.68</v>
      </c>
      <c r="N74" s="847">
        <v>0</v>
      </c>
      <c r="O74" s="847">
        <v>0</v>
      </c>
      <c r="P74" s="1046"/>
      <c r="Q74" s="847">
        <v>1096232.98</v>
      </c>
      <c r="R74" s="847">
        <v>0</v>
      </c>
      <c r="S74" s="847">
        <v>0</v>
      </c>
    </row>
    <row r="75" spans="1:19">
      <c r="A75" s="1076">
        <f t="shared" si="4"/>
        <v>2.5899999999999874</v>
      </c>
      <c r="B75" s="847" t="s">
        <v>1212</v>
      </c>
      <c r="C75" s="1046">
        <f t="shared" si="0"/>
        <v>594677.03</v>
      </c>
      <c r="D75" s="1046">
        <f t="shared" si="1"/>
        <v>532545.88</v>
      </c>
      <c r="E75" s="1046"/>
      <c r="F75" s="1046"/>
      <c r="G75" s="1046">
        <f t="shared" si="2"/>
        <v>563611</v>
      </c>
      <c r="H75" s="1046"/>
      <c r="I75" s="1046">
        <f t="shared" si="17"/>
        <v>563611.45500000007</v>
      </c>
      <c r="J75" s="1046">
        <f t="shared" si="17"/>
        <v>0</v>
      </c>
      <c r="K75" s="1046">
        <f t="shared" si="17"/>
        <v>0</v>
      </c>
      <c r="L75" s="1046"/>
      <c r="M75" s="847">
        <v>594677.03</v>
      </c>
      <c r="N75" s="847">
        <v>0</v>
      </c>
      <c r="O75" s="847">
        <v>0</v>
      </c>
      <c r="P75" s="1046"/>
      <c r="Q75" s="847">
        <v>532545.88</v>
      </c>
      <c r="R75" s="847">
        <v>0</v>
      </c>
      <c r="S75" s="847">
        <v>0</v>
      </c>
    </row>
    <row r="76" spans="1:19">
      <c r="A76" s="1076">
        <f t="shared" si="4"/>
        <v>2.5999999999999872</v>
      </c>
      <c r="B76" s="847" t="s">
        <v>1213</v>
      </c>
      <c r="C76" s="1046">
        <f t="shared" si="0"/>
        <v>47785.35</v>
      </c>
      <c r="D76" s="1046">
        <f t="shared" si="1"/>
        <v>22724.79</v>
      </c>
      <c r="E76" s="1046"/>
      <c r="F76" s="1046"/>
      <c r="G76" s="1046">
        <f t="shared" si="2"/>
        <v>35255</v>
      </c>
      <c r="H76" s="1046"/>
      <c r="I76" s="1046">
        <f t="shared" si="17"/>
        <v>206.49</v>
      </c>
      <c r="J76" s="1046">
        <f t="shared" si="17"/>
        <v>-3.2850000000000001</v>
      </c>
      <c r="K76" s="1046">
        <f t="shared" si="17"/>
        <v>35051.864999999998</v>
      </c>
      <c r="L76" s="1046"/>
      <c r="M76" s="847">
        <v>-238.71</v>
      </c>
      <c r="N76" s="847">
        <v>-4.4400000000000004</v>
      </c>
      <c r="O76" s="847">
        <v>48028.5</v>
      </c>
      <c r="P76" s="1046"/>
      <c r="Q76" s="847">
        <v>651.69000000000005</v>
      </c>
      <c r="R76" s="847">
        <v>-2.13</v>
      </c>
      <c r="S76" s="847">
        <v>22075.23</v>
      </c>
    </row>
    <row r="77" spans="1:19">
      <c r="A77" s="1076">
        <f t="shared" si="4"/>
        <v>2.609999999999987</v>
      </c>
      <c r="B77" s="847" t="s">
        <v>1214</v>
      </c>
      <c r="C77" s="1046">
        <f t="shared" si="0"/>
        <v>797911.17</v>
      </c>
      <c r="D77" s="1046">
        <f t="shared" si="1"/>
        <v>786746.73</v>
      </c>
      <c r="E77" s="1046"/>
      <c r="F77" s="1046"/>
      <c r="G77" s="1046">
        <f t="shared" si="2"/>
        <v>792329</v>
      </c>
      <c r="H77" s="1046"/>
      <c r="I77" s="1046">
        <f t="shared" si="17"/>
        <v>0</v>
      </c>
      <c r="J77" s="1046">
        <f t="shared" si="17"/>
        <v>792328.95</v>
      </c>
      <c r="K77" s="1046">
        <f t="shared" si="17"/>
        <v>0</v>
      </c>
      <c r="L77" s="1046"/>
      <c r="M77" s="847">
        <v>0</v>
      </c>
      <c r="N77" s="847">
        <v>797911.17</v>
      </c>
      <c r="O77" s="847">
        <v>0</v>
      </c>
      <c r="P77" s="1046"/>
      <c r="Q77" s="847">
        <v>0</v>
      </c>
      <c r="R77" s="847">
        <v>786746.73</v>
      </c>
      <c r="S77" s="847">
        <v>0</v>
      </c>
    </row>
    <row r="78" spans="1:19">
      <c r="A78" s="1076">
        <f t="shared" si="4"/>
        <v>2.6199999999999868</v>
      </c>
      <c r="B78" s="847" t="s">
        <v>1215</v>
      </c>
      <c r="C78" s="1046">
        <f t="shared" si="0"/>
        <v>-12382325</v>
      </c>
      <c r="D78" s="1046">
        <f t="shared" si="1"/>
        <v>-15137843.189999999</v>
      </c>
      <c r="E78" s="1046"/>
      <c r="F78" s="1046"/>
      <c r="G78" s="1046">
        <f t="shared" si="2"/>
        <v>-13760084</v>
      </c>
      <c r="H78" s="1046"/>
      <c r="I78" s="1046">
        <f t="shared" si="17"/>
        <v>-7064645.1200000001</v>
      </c>
      <c r="J78" s="1046">
        <f t="shared" si="17"/>
        <v>-1184464.8050000002</v>
      </c>
      <c r="K78" s="1046">
        <f t="shared" si="17"/>
        <v>-5510974.1699999999</v>
      </c>
      <c r="L78" s="1046"/>
      <c r="M78" s="847">
        <v>-6367042.4900000002</v>
      </c>
      <c r="N78" s="847">
        <v>-1062152.32</v>
      </c>
      <c r="O78" s="847">
        <v>-4953130.1900000004</v>
      </c>
      <c r="P78" s="1046"/>
      <c r="Q78" s="847">
        <v>-7762247.75</v>
      </c>
      <c r="R78" s="847">
        <v>-1306777.29</v>
      </c>
      <c r="S78" s="847">
        <v>-6068818.1500000004</v>
      </c>
    </row>
    <row r="79" spans="1:19">
      <c r="A79" s="1076">
        <f t="shared" si="4"/>
        <v>2.6299999999999866</v>
      </c>
      <c r="B79" s="847" t="s">
        <v>1216</v>
      </c>
      <c r="C79" s="1046">
        <f t="shared" si="0"/>
        <v>6912092.46</v>
      </c>
      <c r="D79" s="1046">
        <f t="shared" si="1"/>
        <v>6912092.46</v>
      </c>
      <c r="E79" s="1046"/>
      <c r="F79" s="1046"/>
      <c r="G79" s="1046">
        <f t="shared" si="2"/>
        <v>6912092</v>
      </c>
      <c r="H79" s="1046"/>
      <c r="I79" s="1046">
        <f t="shared" si="17"/>
        <v>3458318.85</v>
      </c>
      <c r="J79" s="1046">
        <f t="shared" si="17"/>
        <v>313952.73</v>
      </c>
      <c r="K79" s="1046">
        <f t="shared" si="17"/>
        <v>3139820.88</v>
      </c>
      <c r="L79" s="1046"/>
      <c r="M79" s="847">
        <v>3458318.85</v>
      </c>
      <c r="N79" s="847">
        <v>313952.73</v>
      </c>
      <c r="O79" s="847">
        <v>3139820.88</v>
      </c>
      <c r="P79" s="1046"/>
      <c r="Q79" s="847">
        <v>3458318.85</v>
      </c>
      <c r="R79" s="847">
        <v>313952.73</v>
      </c>
      <c r="S79" s="847">
        <v>3139820.88</v>
      </c>
    </row>
    <row r="80" spans="1:19">
      <c r="A80" s="1076">
        <f t="shared" si="4"/>
        <v>2.6399999999999864</v>
      </c>
      <c r="B80" s="847" t="s">
        <v>1217</v>
      </c>
      <c r="C80" s="1046">
        <f t="shared" si="0"/>
        <v>-793952.64</v>
      </c>
      <c r="D80" s="1046">
        <f t="shared" si="1"/>
        <v>-1817637.59</v>
      </c>
      <c r="E80" s="1046"/>
      <c r="F80" s="1046"/>
      <c r="G80" s="1046">
        <f t="shared" si="2"/>
        <v>-1305795</v>
      </c>
      <c r="H80" s="1046"/>
      <c r="I80" s="1046">
        <f t="shared" si="17"/>
        <v>-718217.22</v>
      </c>
      <c r="J80" s="1046">
        <f t="shared" si="17"/>
        <v>164978.63500000001</v>
      </c>
      <c r="K80" s="1046">
        <f t="shared" si="17"/>
        <v>-752556.53</v>
      </c>
      <c r="L80" s="1046"/>
      <c r="M80" s="847">
        <v>-489620.76</v>
      </c>
      <c r="N80" s="847">
        <v>181570.18</v>
      </c>
      <c r="O80" s="847">
        <v>-485902.06</v>
      </c>
      <c r="P80" s="1046"/>
      <c r="Q80" s="847">
        <v>-946813.68</v>
      </c>
      <c r="R80" s="847">
        <v>148387.09</v>
      </c>
      <c r="S80" s="847">
        <v>-1019211</v>
      </c>
    </row>
    <row r="81" spans="1:19">
      <c r="A81" s="1076">
        <f t="shared" si="4"/>
        <v>2.6499999999999861</v>
      </c>
      <c r="B81" s="847" t="s">
        <v>1218</v>
      </c>
      <c r="C81" s="1046">
        <f t="shared" si="0"/>
        <v>3354213.4299999997</v>
      </c>
      <c r="D81" s="1046">
        <f t="shared" si="1"/>
        <v>2859129.61</v>
      </c>
      <c r="E81" s="1046"/>
      <c r="F81" s="1046"/>
      <c r="G81" s="1046">
        <f t="shared" si="2"/>
        <v>3106672</v>
      </c>
      <c r="H81" s="1046"/>
      <c r="I81" s="1046">
        <f t="shared" si="17"/>
        <v>1023028.8600000001</v>
      </c>
      <c r="J81" s="1046">
        <f t="shared" si="17"/>
        <v>102328.58</v>
      </c>
      <c r="K81" s="1046">
        <f t="shared" si="17"/>
        <v>1981314.08</v>
      </c>
      <c r="L81" s="1046"/>
      <c r="M81" s="847">
        <v>1161970.1100000001</v>
      </c>
      <c r="N81" s="847">
        <v>123507.92</v>
      </c>
      <c r="O81" s="847">
        <v>2068735.4</v>
      </c>
      <c r="P81" s="1046"/>
      <c r="Q81" s="847">
        <v>884087.61</v>
      </c>
      <c r="R81" s="847">
        <v>81149.240000000005</v>
      </c>
      <c r="S81" s="847">
        <v>1893892.76</v>
      </c>
    </row>
    <row r="82" spans="1:19">
      <c r="A82" s="1076">
        <f t="shared" si="4"/>
        <v>2.6599999999999859</v>
      </c>
      <c r="B82" s="847" t="s">
        <v>1219</v>
      </c>
      <c r="C82" s="1050">
        <f t="shared" si="0"/>
        <v>20782229.980000004</v>
      </c>
      <c r="D82" s="1050">
        <f t="shared" si="1"/>
        <v>63221840.690000005</v>
      </c>
      <c r="E82" s="1050"/>
      <c r="F82" s="1050"/>
      <c r="G82" s="1050">
        <f t="shared" si="2"/>
        <v>42002035</v>
      </c>
      <c r="H82" s="1050"/>
      <c r="I82" s="1050">
        <f t="shared" si="17"/>
        <v>41803198.600000001</v>
      </c>
      <c r="J82" s="1050">
        <f t="shared" si="17"/>
        <v>6064.8099999999995</v>
      </c>
      <c r="K82" s="1050">
        <f t="shared" si="17"/>
        <v>192771.92499999999</v>
      </c>
      <c r="L82" s="1050"/>
      <c r="M82" s="847">
        <v>20585768.690000001</v>
      </c>
      <c r="N82" s="847">
        <v>5879.78</v>
      </c>
      <c r="O82" s="847">
        <v>190581.51</v>
      </c>
      <c r="P82" s="1050"/>
      <c r="Q82" s="847">
        <v>63020628.509999998</v>
      </c>
      <c r="R82" s="847">
        <v>6249.84</v>
      </c>
      <c r="S82" s="847">
        <v>194962.34</v>
      </c>
    </row>
    <row r="83" spans="1:19">
      <c r="A83" s="1076">
        <f t="shared" si="4"/>
        <v>2.6699999999999857</v>
      </c>
      <c r="B83" s="847" t="s">
        <v>1220</v>
      </c>
      <c r="C83" s="1050">
        <f t="shared" ref="C83:C97" si="18">SUM(M83:O83)</f>
        <v>2521009.3199999998</v>
      </c>
      <c r="D83" s="1050">
        <f t="shared" ref="D83:D97" si="19">SUM(Q83:S83)</f>
        <v>2521009.3199999998</v>
      </c>
      <c r="E83" s="1050"/>
      <c r="F83" s="1050"/>
      <c r="G83" s="1050">
        <f t="shared" ref="G83:G116" si="20">ROUND(SUM(C83:F83)/2,0)</f>
        <v>2521009</v>
      </c>
      <c r="H83" s="1050"/>
      <c r="I83" s="1050">
        <f t="shared" ref="I83:K97" si="21">(M83+Q83)/2</f>
        <v>2521009.3199999998</v>
      </c>
      <c r="J83" s="1050">
        <f t="shared" si="21"/>
        <v>0</v>
      </c>
      <c r="K83" s="1050">
        <f t="shared" si="21"/>
        <v>0</v>
      </c>
      <c r="L83" s="1050"/>
      <c r="M83" s="847">
        <v>2521009.3199999998</v>
      </c>
      <c r="N83" s="847">
        <v>0</v>
      </c>
      <c r="O83" s="847">
        <v>0</v>
      </c>
      <c r="P83" s="1050"/>
      <c r="Q83" s="847">
        <v>2521009.3199999998</v>
      </c>
      <c r="R83" s="847">
        <v>0</v>
      </c>
      <c r="S83" s="847">
        <v>0</v>
      </c>
    </row>
    <row r="84" spans="1:19">
      <c r="A84" s="1076">
        <f t="shared" si="4"/>
        <v>2.6799999999999855</v>
      </c>
      <c r="B84" s="847" t="s">
        <v>1254</v>
      </c>
      <c r="C84" s="1046">
        <f t="shared" ref="C84" si="22">SUM(M84:O84)</f>
        <v>16479880.02</v>
      </c>
      <c r="D84" s="1046">
        <f t="shared" ref="D84" si="23">SUM(Q84:S84)</f>
        <v>16655634.65</v>
      </c>
      <c r="E84" s="1046"/>
      <c r="F84" s="1046"/>
      <c r="G84" s="1046">
        <f t="shared" ref="G84" si="24">ROUND(SUM(C84:F84)/2,0)</f>
        <v>16567757</v>
      </c>
      <c r="H84" s="1046"/>
      <c r="I84" s="1046">
        <f t="shared" ref="I84" si="25">(M84+Q84)/2</f>
        <v>6489524.3049999997</v>
      </c>
      <c r="J84" s="1046">
        <f t="shared" ref="J84" si="26">(N84+R84)/2</f>
        <v>117920.61</v>
      </c>
      <c r="K84" s="1046">
        <f t="shared" ref="K84" si="27">(O84+S84)/2</f>
        <v>9960312.4199999999</v>
      </c>
      <c r="L84" s="1046"/>
      <c r="M84" s="847">
        <v>7227862.3300000001</v>
      </c>
      <c r="N84" s="847">
        <v>106412.35</v>
      </c>
      <c r="O84" s="847">
        <v>9145605.3399999999</v>
      </c>
      <c r="P84" s="1046"/>
      <c r="Q84" s="847">
        <v>5751186.2800000003</v>
      </c>
      <c r="R84" s="847">
        <v>129428.87</v>
      </c>
      <c r="S84" s="847">
        <v>10775019.5</v>
      </c>
    </row>
    <row r="85" spans="1:19">
      <c r="A85" s="1076">
        <f t="shared" ref="A85:A116" si="28">A84+0.01</f>
        <v>2.6899999999999853</v>
      </c>
      <c r="B85" s="847" t="s">
        <v>1221</v>
      </c>
      <c r="C85" s="1046">
        <f t="shared" si="18"/>
        <v>0</v>
      </c>
      <c r="D85" s="1046">
        <f t="shared" si="19"/>
        <v>0</v>
      </c>
      <c r="E85" s="1046"/>
      <c r="F85" s="1046"/>
      <c r="G85" s="1046">
        <f t="shared" si="20"/>
        <v>0</v>
      </c>
      <c r="H85" s="1046"/>
      <c r="I85" s="1046">
        <f t="shared" si="21"/>
        <v>0</v>
      </c>
      <c r="J85" s="1046">
        <f t="shared" si="21"/>
        <v>0</v>
      </c>
      <c r="K85" s="1046">
        <f t="shared" si="21"/>
        <v>0</v>
      </c>
      <c r="L85" s="1046"/>
      <c r="M85" s="847">
        <v>0</v>
      </c>
      <c r="N85" s="847">
        <v>0</v>
      </c>
      <c r="O85" s="847">
        <v>0</v>
      </c>
      <c r="P85" s="1046"/>
      <c r="Q85" s="847">
        <v>0</v>
      </c>
      <c r="R85" s="847">
        <v>0</v>
      </c>
      <c r="S85" s="847">
        <v>0</v>
      </c>
    </row>
    <row r="86" spans="1:19">
      <c r="A86" s="1076">
        <f t="shared" si="28"/>
        <v>2.6999999999999851</v>
      </c>
      <c r="B86" s="847" t="s">
        <v>1222</v>
      </c>
      <c r="C86" s="1046">
        <f t="shared" si="18"/>
        <v>0</v>
      </c>
      <c r="D86" s="1046">
        <f t="shared" si="19"/>
        <v>567</v>
      </c>
      <c r="E86" s="1046"/>
      <c r="F86" s="1046"/>
      <c r="G86" s="1046">
        <f t="shared" si="20"/>
        <v>284</v>
      </c>
      <c r="H86" s="1046"/>
      <c r="I86" s="1046">
        <f t="shared" si="21"/>
        <v>283.5</v>
      </c>
      <c r="J86" s="1046">
        <f t="shared" si="21"/>
        <v>0</v>
      </c>
      <c r="K86" s="1046">
        <f t="shared" si="21"/>
        <v>0</v>
      </c>
      <c r="L86" s="1046"/>
      <c r="M86" s="847">
        <v>0</v>
      </c>
      <c r="N86" s="847">
        <v>0</v>
      </c>
      <c r="O86" s="847">
        <v>0</v>
      </c>
      <c r="P86" s="1046"/>
      <c r="Q86" s="847">
        <v>567</v>
      </c>
      <c r="R86" s="847">
        <v>0</v>
      </c>
      <c r="S86" s="847">
        <v>0</v>
      </c>
    </row>
    <row r="87" spans="1:19">
      <c r="A87" s="1076">
        <f t="shared" si="28"/>
        <v>2.7099999999999849</v>
      </c>
      <c r="B87" s="847" t="s">
        <v>1223</v>
      </c>
      <c r="C87" s="1046">
        <f t="shared" si="18"/>
        <v>63037782.310000002</v>
      </c>
      <c r="D87" s="1046">
        <f t="shared" si="19"/>
        <v>66976322.230000004</v>
      </c>
      <c r="E87" s="1046"/>
      <c r="F87" s="1046"/>
      <c r="G87" s="1046">
        <f t="shared" si="20"/>
        <v>65007052</v>
      </c>
      <c r="H87" s="1046"/>
      <c r="I87" s="1046">
        <f t="shared" si="21"/>
        <v>5058871.1449999996</v>
      </c>
      <c r="J87" s="1046">
        <f t="shared" si="21"/>
        <v>19894215.759999998</v>
      </c>
      <c r="K87" s="1046">
        <f t="shared" si="21"/>
        <v>40053965.365000002</v>
      </c>
      <c r="L87" s="1046"/>
      <c r="M87" s="847">
        <v>4606491.5599999996</v>
      </c>
      <c r="N87" s="847">
        <v>18601069.469999999</v>
      </c>
      <c r="O87" s="847">
        <v>39830221.280000001</v>
      </c>
      <c r="P87" s="1046"/>
      <c r="Q87" s="847">
        <v>5511250.7300000004</v>
      </c>
      <c r="R87" s="847">
        <v>21187362.050000001</v>
      </c>
      <c r="S87" s="847">
        <v>40277709.450000003</v>
      </c>
    </row>
    <row r="88" spans="1:19">
      <c r="A88" s="1076">
        <f t="shared" si="28"/>
        <v>2.7199999999999847</v>
      </c>
      <c r="B88" s="847" t="s">
        <v>1224</v>
      </c>
      <c r="C88" s="1046">
        <f t="shared" si="18"/>
        <v>0</v>
      </c>
      <c r="D88" s="1046">
        <f t="shared" si="19"/>
        <v>0</v>
      </c>
      <c r="E88" s="1046"/>
      <c r="F88" s="1046"/>
      <c r="G88" s="1046">
        <f t="shared" si="20"/>
        <v>0</v>
      </c>
      <c r="H88" s="1046"/>
      <c r="I88" s="1046">
        <f t="shared" si="21"/>
        <v>0</v>
      </c>
      <c r="J88" s="1046">
        <f t="shared" si="21"/>
        <v>0</v>
      </c>
      <c r="K88" s="1046">
        <f t="shared" si="21"/>
        <v>0</v>
      </c>
      <c r="L88" s="1046"/>
      <c r="M88" s="847">
        <v>0</v>
      </c>
      <c r="N88" s="847">
        <v>0</v>
      </c>
      <c r="O88" s="847">
        <v>0</v>
      </c>
      <c r="P88" s="1046"/>
      <c r="Q88" s="847">
        <v>0</v>
      </c>
      <c r="R88" s="847">
        <v>0</v>
      </c>
      <c r="S88" s="847">
        <v>0</v>
      </c>
    </row>
    <row r="89" spans="1:19">
      <c r="A89" s="1076">
        <f t="shared" si="28"/>
        <v>2.7299999999999844</v>
      </c>
      <c r="B89" s="847" t="s">
        <v>731</v>
      </c>
      <c r="C89" s="1046">
        <f t="shared" si="18"/>
        <v>16237089.300000001</v>
      </c>
      <c r="D89" s="1046">
        <f t="shared" si="19"/>
        <v>16391724.159999998</v>
      </c>
      <c r="E89" s="1046"/>
      <c r="F89" s="1046"/>
      <c r="G89" s="1046">
        <f t="shared" si="20"/>
        <v>16314407</v>
      </c>
      <c r="H89" s="1046"/>
      <c r="I89" s="1046">
        <f t="shared" si="21"/>
        <v>8570927.0449999981</v>
      </c>
      <c r="J89" s="1046">
        <f t="shared" si="21"/>
        <v>2842035.0449999999</v>
      </c>
      <c r="K89" s="1046">
        <f t="shared" si="21"/>
        <v>4901444.6400000006</v>
      </c>
      <c r="L89" s="1046"/>
      <c r="M89" s="847">
        <v>8725044.1199999992</v>
      </c>
      <c r="N89" s="847">
        <v>2763931.74</v>
      </c>
      <c r="O89" s="847">
        <v>4748113.4400000004</v>
      </c>
      <c r="P89" s="1046"/>
      <c r="Q89" s="847">
        <v>8416809.9699999988</v>
      </c>
      <c r="R89" s="847">
        <v>2920138.35</v>
      </c>
      <c r="S89" s="847">
        <v>5054775.84</v>
      </c>
    </row>
    <row r="90" spans="1:19">
      <c r="A90" s="1076">
        <f t="shared" si="28"/>
        <v>2.7399999999999842</v>
      </c>
      <c r="B90" s="847" t="s">
        <v>1225</v>
      </c>
      <c r="C90" s="1046">
        <f t="shared" si="18"/>
        <v>0</v>
      </c>
      <c r="D90" s="1046">
        <f t="shared" si="19"/>
        <v>0</v>
      </c>
      <c r="E90" s="1046"/>
      <c r="F90" s="1046"/>
      <c r="G90" s="1046">
        <f t="shared" si="20"/>
        <v>0</v>
      </c>
      <c r="H90" s="1046"/>
      <c r="I90" s="1046">
        <f t="shared" si="21"/>
        <v>0</v>
      </c>
      <c r="J90" s="1046">
        <f t="shared" si="21"/>
        <v>0</v>
      </c>
      <c r="K90" s="1046">
        <f t="shared" si="21"/>
        <v>0</v>
      </c>
      <c r="L90" s="1046"/>
      <c r="M90" s="847">
        <v>0</v>
      </c>
      <c r="N90" s="847">
        <v>0</v>
      </c>
      <c r="O90" s="847">
        <v>0</v>
      </c>
      <c r="P90" s="1046"/>
      <c r="Q90" s="847">
        <v>0</v>
      </c>
      <c r="R90" s="847">
        <v>0</v>
      </c>
      <c r="S90" s="847">
        <v>0</v>
      </c>
    </row>
    <row r="91" spans="1:19">
      <c r="A91" s="1076">
        <f t="shared" si="28"/>
        <v>2.749999999999984</v>
      </c>
      <c r="B91" s="847" t="s">
        <v>1226</v>
      </c>
      <c r="C91" s="1046">
        <f t="shared" si="18"/>
        <v>0</v>
      </c>
      <c r="D91" s="1046">
        <f t="shared" si="19"/>
        <v>0</v>
      </c>
      <c r="E91" s="1046"/>
      <c r="F91" s="1046"/>
      <c r="G91" s="1046">
        <f t="shared" si="20"/>
        <v>0</v>
      </c>
      <c r="H91" s="1046"/>
      <c r="I91" s="1046">
        <f t="shared" si="21"/>
        <v>0</v>
      </c>
      <c r="J91" s="1046">
        <f t="shared" si="21"/>
        <v>0</v>
      </c>
      <c r="K91" s="1046">
        <f t="shared" si="21"/>
        <v>0</v>
      </c>
      <c r="L91" s="1046"/>
      <c r="M91" s="847">
        <v>0</v>
      </c>
      <c r="N91" s="847">
        <v>0</v>
      </c>
      <c r="O91" s="847">
        <v>0</v>
      </c>
      <c r="P91" s="1046"/>
      <c r="Q91" s="847">
        <v>0</v>
      </c>
      <c r="R91" s="847">
        <v>0</v>
      </c>
      <c r="S91" s="847">
        <v>0</v>
      </c>
    </row>
    <row r="92" spans="1:19">
      <c r="A92" s="1076">
        <f t="shared" si="28"/>
        <v>2.7599999999999838</v>
      </c>
      <c r="B92" s="847" t="s">
        <v>1227</v>
      </c>
      <c r="C92" s="1046">
        <f t="shared" si="18"/>
        <v>3.999999999999998E-2</v>
      </c>
      <c r="D92" s="1046">
        <f t="shared" si="19"/>
        <v>-0.2</v>
      </c>
      <c r="E92" s="1046"/>
      <c r="F92" s="1046"/>
      <c r="G92" s="1046">
        <f t="shared" si="20"/>
        <v>0</v>
      </c>
      <c r="H92" s="1046"/>
      <c r="I92" s="1046">
        <f t="shared" si="21"/>
        <v>0.12</v>
      </c>
      <c r="J92" s="1046">
        <f t="shared" si="21"/>
        <v>0.12</v>
      </c>
      <c r="K92" s="1046">
        <f t="shared" si="21"/>
        <v>-0.32</v>
      </c>
      <c r="L92" s="1046"/>
      <c r="M92" s="847">
        <v>0.24</v>
      </c>
      <c r="N92" s="847">
        <v>0.12</v>
      </c>
      <c r="O92" s="847">
        <v>-0.32</v>
      </c>
      <c r="P92" s="1046"/>
      <c r="Q92" s="847">
        <v>0</v>
      </c>
      <c r="R92" s="847">
        <v>0.12</v>
      </c>
      <c r="S92" s="847">
        <v>-0.32</v>
      </c>
    </row>
    <row r="93" spans="1:19">
      <c r="A93" s="1076">
        <f t="shared" si="28"/>
        <v>2.7699999999999836</v>
      </c>
      <c r="B93" s="847" t="s">
        <v>1228</v>
      </c>
      <c r="C93" s="1046">
        <f t="shared" si="18"/>
        <v>0</v>
      </c>
      <c r="D93" s="1046">
        <f t="shared" si="19"/>
        <v>0</v>
      </c>
      <c r="E93" s="1046"/>
      <c r="F93" s="1046"/>
      <c r="G93" s="1046">
        <f t="shared" si="20"/>
        <v>0</v>
      </c>
      <c r="H93" s="1046"/>
      <c r="I93" s="1046">
        <f t="shared" si="21"/>
        <v>0</v>
      </c>
      <c r="J93" s="1046">
        <f t="shared" si="21"/>
        <v>0</v>
      </c>
      <c r="K93" s="1046">
        <f t="shared" si="21"/>
        <v>0</v>
      </c>
      <c r="L93" s="1046"/>
      <c r="M93" s="847">
        <v>0</v>
      </c>
      <c r="N93" s="847">
        <v>0</v>
      </c>
      <c r="O93" s="847">
        <v>0</v>
      </c>
      <c r="P93" s="1046"/>
      <c r="Q93" s="847">
        <v>0</v>
      </c>
      <c r="R93" s="847">
        <v>0</v>
      </c>
      <c r="S93" s="847">
        <v>0</v>
      </c>
    </row>
    <row r="94" spans="1:19">
      <c r="A94" s="1076">
        <f t="shared" si="28"/>
        <v>2.7799999999999834</v>
      </c>
      <c r="B94" s="847" t="s">
        <v>1229</v>
      </c>
      <c r="C94" s="1046">
        <f t="shared" si="18"/>
        <v>0</v>
      </c>
      <c r="D94" s="1046">
        <f t="shared" si="19"/>
        <v>0</v>
      </c>
      <c r="E94" s="1046"/>
      <c r="F94" s="1046"/>
      <c r="G94" s="1046">
        <f t="shared" si="20"/>
        <v>0</v>
      </c>
      <c r="H94" s="1046"/>
      <c r="I94" s="1046">
        <f t="shared" si="21"/>
        <v>0</v>
      </c>
      <c r="J94" s="1046">
        <f t="shared" si="21"/>
        <v>0</v>
      </c>
      <c r="K94" s="1046">
        <f t="shared" si="21"/>
        <v>0</v>
      </c>
      <c r="L94" s="1046"/>
      <c r="M94" s="847">
        <v>0</v>
      </c>
      <c r="N94" s="847">
        <v>0</v>
      </c>
      <c r="O94" s="847">
        <v>0</v>
      </c>
      <c r="P94" s="1046"/>
      <c r="Q94" s="847">
        <v>0</v>
      </c>
      <c r="R94" s="847">
        <v>0</v>
      </c>
      <c r="S94" s="847">
        <v>0</v>
      </c>
    </row>
    <row r="95" spans="1:19">
      <c r="A95" s="1076">
        <f t="shared" si="28"/>
        <v>2.7899999999999832</v>
      </c>
      <c r="B95" s="847" t="s">
        <v>1230</v>
      </c>
      <c r="C95" s="1046">
        <f t="shared" si="18"/>
        <v>7.0000000000000007E-2</v>
      </c>
      <c r="D95" s="1046">
        <f t="shared" si="19"/>
        <v>7.0000000000000007E-2</v>
      </c>
      <c r="E95" s="1046"/>
      <c r="F95" s="1046"/>
      <c r="G95" s="1046">
        <f t="shared" si="20"/>
        <v>0</v>
      </c>
      <c r="H95" s="1046"/>
      <c r="I95" s="1046">
        <f t="shared" si="21"/>
        <v>7.0000000000000007E-2</v>
      </c>
      <c r="J95" s="1046">
        <f t="shared" si="21"/>
        <v>-7.0000000000000007E-2</v>
      </c>
      <c r="K95" s="1046">
        <f t="shared" si="21"/>
        <v>7.0000000000000007E-2</v>
      </c>
      <c r="L95" s="1046"/>
      <c r="M95" s="847">
        <v>7.0000000000000007E-2</v>
      </c>
      <c r="N95" s="847">
        <v>-7.0000000000000007E-2</v>
      </c>
      <c r="O95" s="847">
        <v>7.0000000000000007E-2</v>
      </c>
      <c r="P95" s="1046"/>
      <c r="Q95" s="847">
        <v>7.0000000000000007E-2</v>
      </c>
      <c r="R95" s="847">
        <v>-7.0000000000000007E-2</v>
      </c>
      <c r="S95" s="847">
        <v>7.0000000000000007E-2</v>
      </c>
    </row>
    <row r="96" spans="1:19">
      <c r="A96" s="1076">
        <f t="shared" si="28"/>
        <v>2.7999999999999829</v>
      </c>
      <c r="B96" s="847" t="s">
        <v>1231</v>
      </c>
      <c r="C96" s="1046">
        <f t="shared" si="18"/>
        <v>0</v>
      </c>
      <c r="D96" s="1046">
        <f t="shared" si="19"/>
        <v>0</v>
      </c>
      <c r="E96" s="1046"/>
      <c r="F96" s="1046"/>
      <c r="G96" s="1046">
        <f t="shared" si="20"/>
        <v>0</v>
      </c>
      <c r="H96" s="1046"/>
      <c r="I96" s="1046">
        <f t="shared" si="21"/>
        <v>0</v>
      </c>
      <c r="J96" s="1046">
        <f t="shared" si="21"/>
        <v>0</v>
      </c>
      <c r="K96" s="1046">
        <f t="shared" si="21"/>
        <v>0</v>
      </c>
      <c r="L96" s="1046"/>
      <c r="M96" s="847">
        <v>0</v>
      </c>
      <c r="N96" s="847">
        <v>0</v>
      </c>
      <c r="O96" s="847">
        <v>0</v>
      </c>
      <c r="P96" s="1046"/>
      <c r="Q96" s="847">
        <v>0</v>
      </c>
      <c r="R96" s="847">
        <v>0</v>
      </c>
      <c r="S96" s="847">
        <v>0</v>
      </c>
    </row>
    <row r="97" spans="1:19">
      <c r="A97" s="1076">
        <f t="shared" si="28"/>
        <v>2.8099999999999827</v>
      </c>
      <c r="B97" s="847" t="s">
        <v>1232</v>
      </c>
      <c r="C97" s="1046">
        <f t="shared" si="18"/>
        <v>0</v>
      </c>
      <c r="D97" s="1046">
        <f t="shared" si="19"/>
        <v>0</v>
      </c>
      <c r="E97" s="1046"/>
      <c r="F97" s="1046"/>
      <c r="G97" s="1046">
        <f t="shared" si="20"/>
        <v>0</v>
      </c>
      <c r="H97" s="1046"/>
      <c r="I97" s="1046">
        <f t="shared" si="21"/>
        <v>0</v>
      </c>
      <c r="J97" s="1046">
        <f t="shared" si="21"/>
        <v>0</v>
      </c>
      <c r="K97" s="1046">
        <f t="shared" si="21"/>
        <v>0</v>
      </c>
      <c r="L97" s="1046"/>
      <c r="M97" s="847">
        <v>0</v>
      </c>
      <c r="N97" s="847">
        <v>0</v>
      </c>
      <c r="O97" s="847">
        <v>0</v>
      </c>
      <c r="P97" s="1046"/>
      <c r="Q97" s="847">
        <v>0</v>
      </c>
      <c r="R97" s="847">
        <v>0</v>
      </c>
      <c r="S97" s="847">
        <v>0</v>
      </c>
    </row>
    <row r="98" spans="1:19">
      <c r="A98" s="1076">
        <f t="shared" si="28"/>
        <v>2.8199999999999825</v>
      </c>
      <c r="B98" s="847" t="s">
        <v>1233</v>
      </c>
      <c r="C98" s="1046">
        <f t="shared" ref="C98:C104" si="29">SUM(M98:O98)</f>
        <v>640060.80000000005</v>
      </c>
      <c r="D98" s="1046">
        <f t="shared" ref="D98:D104" si="30">SUM(Q98:S98)</f>
        <v>610692.72</v>
      </c>
      <c r="E98" s="1046"/>
      <c r="F98" s="1046"/>
      <c r="G98" s="1046">
        <f t="shared" ref="G98:G110" si="31">ROUND(SUM(C98:F98)/2,0)</f>
        <v>625377</v>
      </c>
      <c r="H98" s="1046"/>
      <c r="I98" s="1046">
        <f t="shared" ref="I98:I104" si="32">(M98+Q98)/2</f>
        <v>0</v>
      </c>
      <c r="J98" s="1046">
        <f t="shared" ref="J98:J104" si="33">(N98+R98)/2</f>
        <v>0</v>
      </c>
      <c r="K98" s="1046">
        <f t="shared" ref="K98:K104" si="34">(O98+S98)/2</f>
        <v>625376.76</v>
      </c>
      <c r="L98" s="1046"/>
      <c r="M98" s="847">
        <v>0</v>
      </c>
      <c r="N98" s="847">
        <v>0</v>
      </c>
      <c r="O98" s="847">
        <v>640060.80000000005</v>
      </c>
      <c r="P98" s="1046"/>
      <c r="Q98" s="847">
        <v>0</v>
      </c>
      <c r="R98" s="847">
        <v>0</v>
      </c>
      <c r="S98" s="847">
        <v>610692.72</v>
      </c>
    </row>
    <row r="99" spans="1:19">
      <c r="A99" s="1076">
        <f t="shared" si="28"/>
        <v>2.8299999999999823</v>
      </c>
      <c r="B99" s="847" t="s">
        <v>1234</v>
      </c>
      <c r="C99" s="1046">
        <f t="shared" si="29"/>
        <v>0</v>
      </c>
      <c r="D99" s="1046">
        <f t="shared" si="30"/>
        <v>0</v>
      </c>
      <c r="E99" s="1046"/>
      <c r="F99" s="1046"/>
      <c r="G99" s="1046">
        <f t="shared" si="31"/>
        <v>0</v>
      </c>
      <c r="H99" s="1046"/>
      <c r="I99" s="1046">
        <f t="shared" si="32"/>
        <v>0</v>
      </c>
      <c r="J99" s="1046">
        <f t="shared" si="33"/>
        <v>0</v>
      </c>
      <c r="K99" s="1046">
        <f t="shared" si="34"/>
        <v>0</v>
      </c>
      <c r="L99" s="1046"/>
      <c r="M99" s="847">
        <v>0</v>
      </c>
      <c r="N99" s="847">
        <v>0</v>
      </c>
      <c r="O99" s="847">
        <v>0</v>
      </c>
      <c r="P99" s="1046"/>
      <c r="Q99" s="847">
        <v>0</v>
      </c>
      <c r="R99" s="847">
        <v>0</v>
      </c>
      <c r="S99" s="847">
        <v>0</v>
      </c>
    </row>
    <row r="100" spans="1:19">
      <c r="A100" s="1076">
        <f t="shared" si="28"/>
        <v>2.8399999999999821</v>
      </c>
      <c r="B100" s="847" t="s">
        <v>1235</v>
      </c>
      <c r="C100" s="1046">
        <f t="shared" si="29"/>
        <v>1899053.96</v>
      </c>
      <c r="D100" s="1046">
        <f t="shared" si="30"/>
        <v>2015452.97</v>
      </c>
      <c r="E100" s="1046"/>
      <c r="F100" s="1046"/>
      <c r="G100" s="1046">
        <f t="shared" si="31"/>
        <v>1957253</v>
      </c>
      <c r="H100" s="1046"/>
      <c r="I100" s="1046">
        <f t="shared" si="32"/>
        <v>541817.27</v>
      </c>
      <c r="J100" s="1046">
        <f t="shared" si="33"/>
        <v>1018735.095</v>
      </c>
      <c r="K100" s="1046">
        <f t="shared" si="34"/>
        <v>396701.1</v>
      </c>
      <c r="L100" s="1046"/>
      <c r="M100" s="847">
        <v>541817.27</v>
      </c>
      <c r="N100" s="847">
        <v>974023.47</v>
      </c>
      <c r="O100" s="847">
        <v>383213.22</v>
      </c>
      <c r="P100" s="1046"/>
      <c r="Q100" s="847">
        <v>541817.27</v>
      </c>
      <c r="R100" s="847">
        <v>1063446.72</v>
      </c>
      <c r="S100" s="847">
        <v>410188.98</v>
      </c>
    </row>
    <row r="101" spans="1:19">
      <c r="A101" s="1076">
        <f t="shared" si="28"/>
        <v>2.8499999999999819</v>
      </c>
      <c r="B101" s="847" t="s">
        <v>1236</v>
      </c>
      <c r="C101" s="1046">
        <f t="shared" si="29"/>
        <v>2512281.3099999996</v>
      </c>
      <c r="D101" s="1046">
        <f t="shared" si="30"/>
        <v>0</v>
      </c>
      <c r="E101" s="1046"/>
      <c r="F101" s="1046"/>
      <c r="G101" s="1046">
        <f t="shared" si="31"/>
        <v>1256141</v>
      </c>
      <c r="H101" s="1046"/>
      <c r="I101" s="1046">
        <f t="shared" si="32"/>
        <v>1141067.69</v>
      </c>
      <c r="J101" s="1046">
        <f t="shared" si="33"/>
        <v>8127.18</v>
      </c>
      <c r="K101" s="1046">
        <f t="shared" si="34"/>
        <v>106945.785</v>
      </c>
      <c r="L101" s="1046"/>
      <c r="M101" s="847">
        <v>2282135.38</v>
      </c>
      <c r="N101" s="847">
        <v>16254.36</v>
      </c>
      <c r="O101" s="847">
        <v>213891.57</v>
      </c>
      <c r="P101" s="1046"/>
      <c r="Q101" s="847">
        <v>0</v>
      </c>
      <c r="R101" s="847">
        <v>0</v>
      </c>
      <c r="S101" s="847">
        <v>0</v>
      </c>
    </row>
    <row r="102" spans="1:19">
      <c r="A102" s="1076">
        <f t="shared" si="28"/>
        <v>2.8599999999999817</v>
      </c>
      <c r="B102" s="847" t="s">
        <v>1237</v>
      </c>
      <c r="C102" s="1046">
        <f t="shared" si="29"/>
        <v>0</v>
      </c>
      <c r="D102" s="1046">
        <f t="shared" si="30"/>
        <v>0</v>
      </c>
      <c r="E102" s="1046"/>
      <c r="F102" s="1046"/>
      <c r="G102" s="1046">
        <f t="shared" si="31"/>
        <v>0</v>
      </c>
      <c r="H102" s="1046"/>
      <c r="I102" s="1046">
        <f t="shared" si="32"/>
        <v>0</v>
      </c>
      <c r="J102" s="1046">
        <f t="shared" si="33"/>
        <v>0</v>
      </c>
      <c r="K102" s="1046">
        <f t="shared" si="34"/>
        <v>0</v>
      </c>
      <c r="L102" s="1046"/>
      <c r="M102" s="847">
        <v>0</v>
      </c>
      <c r="N102" s="847">
        <v>0</v>
      </c>
      <c r="O102" s="847">
        <v>0</v>
      </c>
      <c r="P102" s="1046"/>
      <c r="Q102" s="847">
        <v>0</v>
      </c>
      <c r="R102" s="847">
        <v>0</v>
      </c>
      <c r="S102" s="847">
        <v>0</v>
      </c>
    </row>
    <row r="103" spans="1:19">
      <c r="A103" s="1076">
        <f t="shared" si="28"/>
        <v>2.8699999999999815</v>
      </c>
      <c r="B103" s="847" t="s">
        <v>1238</v>
      </c>
      <c r="C103" s="1046">
        <f t="shared" si="29"/>
        <v>75248.62999999999</v>
      </c>
      <c r="D103" s="1046">
        <f t="shared" si="30"/>
        <v>13039.43</v>
      </c>
      <c r="E103" s="1046"/>
      <c r="F103" s="1046"/>
      <c r="G103" s="1046">
        <f t="shared" si="31"/>
        <v>44144</v>
      </c>
      <c r="H103" s="1046"/>
      <c r="I103" s="1046">
        <f t="shared" si="32"/>
        <v>5346.76</v>
      </c>
      <c r="J103" s="1046">
        <f t="shared" si="33"/>
        <v>0</v>
      </c>
      <c r="K103" s="1046">
        <f t="shared" si="34"/>
        <v>38797.269999999997</v>
      </c>
      <c r="L103" s="1046"/>
      <c r="M103" s="847">
        <v>5057.45</v>
      </c>
      <c r="N103" s="847">
        <v>0</v>
      </c>
      <c r="O103" s="847">
        <v>70191.179999999993</v>
      </c>
      <c r="P103" s="1046"/>
      <c r="Q103" s="847">
        <v>5636.07</v>
      </c>
      <c r="R103" s="847">
        <v>0</v>
      </c>
      <c r="S103" s="847">
        <v>7403.36</v>
      </c>
    </row>
    <row r="104" spans="1:19">
      <c r="A104" s="1076">
        <f t="shared" si="28"/>
        <v>2.8799999999999812</v>
      </c>
      <c r="B104" s="847" t="s">
        <v>1239</v>
      </c>
      <c r="C104" s="1046">
        <f t="shared" si="29"/>
        <v>333462.06</v>
      </c>
      <c r="D104" s="1046">
        <f t="shared" si="30"/>
        <v>520058.57</v>
      </c>
      <c r="E104" s="1046"/>
      <c r="F104" s="1046"/>
      <c r="G104" s="1046">
        <f t="shared" si="31"/>
        <v>426760</v>
      </c>
      <c r="H104" s="1046"/>
      <c r="I104" s="1046">
        <f t="shared" si="32"/>
        <v>50184.395000000004</v>
      </c>
      <c r="J104" s="1046">
        <f t="shared" si="33"/>
        <v>0</v>
      </c>
      <c r="K104" s="1046">
        <f t="shared" si="34"/>
        <v>376575.92000000004</v>
      </c>
      <c r="L104" s="1046"/>
      <c r="M104" s="847">
        <v>36369.1</v>
      </c>
      <c r="N104" s="847">
        <v>0</v>
      </c>
      <c r="O104" s="847">
        <v>297092.96000000002</v>
      </c>
      <c r="P104" s="1046"/>
      <c r="Q104" s="847">
        <v>63999.69</v>
      </c>
      <c r="R104" s="847">
        <v>0</v>
      </c>
      <c r="S104" s="847">
        <v>456058.88</v>
      </c>
    </row>
    <row r="105" spans="1:19">
      <c r="A105" s="1076">
        <f t="shared" si="28"/>
        <v>2.889999999999981</v>
      </c>
      <c r="B105" s="847" t="s">
        <v>1012</v>
      </c>
      <c r="C105" s="847">
        <f>-E105</f>
        <v>4999959.51</v>
      </c>
      <c r="D105" s="847">
        <f>-F105</f>
        <v>2430899.5</v>
      </c>
      <c r="E105" s="1046">
        <v>-4999959.51</v>
      </c>
      <c r="F105" s="1046">
        <v>-2430899.5</v>
      </c>
      <c r="G105" s="1046">
        <f t="shared" si="31"/>
        <v>0</v>
      </c>
      <c r="H105" s="1046"/>
      <c r="I105" s="1046"/>
      <c r="J105" s="1046"/>
      <c r="K105" s="1046"/>
      <c r="L105" s="1046"/>
      <c r="M105" s="1308"/>
      <c r="N105" s="1308"/>
      <c r="O105" s="1308"/>
      <c r="P105" s="1046"/>
      <c r="Q105" s="1308"/>
      <c r="R105" s="1308"/>
      <c r="S105" s="1308"/>
    </row>
    <row r="106" spans="1:19">
      <c r="A106" s="1076">
        <f t="shared" si="28"/>
        <v>2.8999999999999808</v>
      </c>
      <c r="B106" s="847" t="s">
        <v>1240</v>
      </c>
      <c r="C106" s="1455">
        <f t="shared" ref="C106:C115" si="35">-E106</f>
        <v>57375773.810000002</v>
      </c>
      <c r="D106" s="1455">
        <f t="shared" ref="D106:D115" si="36">-F106</f>
        <v>58144834.390000001</v>
      </c>
      <c r="E106" s="1046">
        <v>-57375773.810000002</v>
      </c>
      <c r="F106" s="1046">
        <v>-58144834.390000001</v>
      </c>
      <c r="G106" s="1046">
        <f t="shared" si="31"/>
        <v>0</v>
      </c>
      <c r="H106" s="1046"/>
      <c r="I106" s="1046"/>
      <c r="J106" s="1046"/>
      <c r="K106" s="1046"/>
      <c r="L106" s="1046"/>
      <c r="M106" s="1308"/>
      <c r="N106" s="1308"/>
      <c r="O106" s="1308"/>
      <c r="P106" s="1046"/>
      <c r="Q106" s="1308"/>
      <c r="R106" s="1308"/>
      <c r="S106" s="1308"/>
    </row>
    <row r="107" spans="1:19">
      <c r="A107" s="1076">
        <f t="shared" si="28"/>
        <v>2.9099999999999806</v>
      </c>
      <c r="B107" s="847" t="s">
        <v>1241</v>
      </c>
      <c r="C107" s="1455">
        <f t="shared" si="35"/>
        <v>222763076.30000001</v>
      </c>
      <c r="D107" s="1455">
        <f t="shared" si="36"/>
        <v>198296817.77000001</v>
      </c>
      <c r="E107" s="1046">
        <v>-222763076.30000001</v>
      </c>
      <c r="F107" s="1046">
        <v>-198296817.77000001</v>
      </c>
      <c r="G107" s="1046">
        <f t="shared" si="31"/>
        <v>0</v>
      </c>
      <c r="H107" s="1046"/>
      <c r="I107" s="1046"/>
      <c r="J107" s="1046"/>
      <c r="K107" s="1046"/>
      <c r="L107" s="1046"/>
      <c r="M107" s="1308"/>
      <c r="N107" s="1308"/>
      <c r="O107" s="1308"/>
      <c r="P107" s="1046"/>
      <c r="Q107" s="1308"/>
      <c r="R107" s="1308"/>
      <c r="S107" s="1308"/>
    </row>
    <row r="108" spans="1:19">
      <c r="A108" s="1076">
        <f t="shared" si="28"/>
        <v>2.9199999999999804</v>
      </c>
      <c r="B108" s="847" t="s">
        <v>1242</v>
      </c>
      <c r="C108" s="847">
        <f t="shared" si="35"/>
        <v>0</v>
      </c>
      <c r="D108" s="847">
        <f t="shared" si="36"/>
        <v>0</v>
      </c>
      <c r="E108" s="1046">
        <v>0</v>
      </c>
      <c r="F108" s="1046">
        <v>0</v>
      </c>
      <c r="G108" s="1046">
        <f t="shared" si="31"/>
        <v>0</v>
      </c>
      <c r="H108" s="1046"/>
      <c r="I108" s="1046"/>
      <c r="J108" s="1046"/>
      <c r="K108" s="1046"/>
      <c r="L108" s="1046"/>
      <c r="M108" s="1308"/>
      <c r="N108" s="1308"/>
      <c r="O108" s="1308"/>
      <c r="P108" s="1046"/>
      <c r="Q108" s="1308"/>
      <c r="R108" s="1308"/>
      <c r="S108" s="1308"/>
    </row>
    <row r="109" spans="1:19">
      <c r="A109" s="1076">
        <f t="shared" si="28"/>
        <v>2.9299999999999802</v>
      </c>
      <c r="B109" s="847" t="s">
        <v>1243</v>
      </c>
      <c r="C109" s="847">
        <f t="shared" si="35"/>
        <v>0</v>
      </c>
      <c r="D109" s="847">
        <f t="shared" si="36"/>
        <v>0</v>
      </c>
      <c r="E109" s="1046">
        <v>0</v>
      </c>
      <c r="F109" s="1046">
        <v>0</v>
      </c>
      <c r="G109" s="1046">
        <f t="shared" si="31"/>
        <v>0</v>
      </c>
      <c r="H109" s="1046"/>
      <c r="I109" s="1046"/>
      <c r="J109" s="1046"/>
      <c r="K109" s="1046"/>
      <c r="L109" s="1046"/>
      <c r="M109" s="1308"/>
      <c r="N109" s="1308"/>
      <c r="O109" s="1308"/>
      <c r="P109" s="1046"/>
      <c r="Q109" s="1308"/>
      <c r="R109" s="1308"/>
      <c r="S109" s="1308"/>
    </row>
    <row r="110" spans="1:19">
      <c r="A110" s="1076">
        <f t="shared" si="28"/>
        <v>2.93999999999998</v>
      </c>
      <c r="B110" s="847" t="s">
        <v>1244</v>
      </c>
      <c r="C110" s="847">
        <f t="shared" si="35"/>
        <v>0</v>
      </c>
      <c r="D110" s="847">
        <f t="shared" si="36"/>
        <v>0</v>
      </c>
      <c r="E110" s="1046">
        <v>0</v>
      </c>
      <c r="F110" s="1046">
        <v>0</v>
      </c>
      <c r="G110" s="1046">
        <f t="shared" si="31"/>
        <v>0</v>
      </c>
      <c r="H110" s="1046"/>
      <c r="I110" s="1046"/>
      <c r="J110" s="1046"/>
      <c r="K110" s="1046"/>
      <c r="L110" s="1046"/>
      <c r="M110" s="1308"/>
      <c r="N110" s="1308"/>
      <c r="O110" s="1308"/>
      <c r="P110" s="1046"/>
      <c r="Q110" s="1308"/>
      <c r="R110" s="1308"/>
      <c r="S110" s="1308"/>
    </row>
    <row r="111" spans="1:19">
      <c r="A111" s="1076">
        <f t="shared" si="28"/>
        <v>2.9499999999999797</v>
      </c>
      <c r="B111" s="847" t="s">
        <v>1245</v>
      </c>
      <c r="C111" s="847">
        <f t="shared" si="35"/>
        <v>-1267169.3999999999</v>
      </c>
      <c r="D111" s="847">
        <f t="shared" si="36"/>
        <v>-2390952.85</v>
      </c>
      <c r="E111" s="1046">
        <v>1267169.3999999999</v>
      </c>
      <c r="F111" s="1046">
        <v>2390952.85</v>
      </c>
      <c r="G111" s="1046">
        <f t="shared" si="20"/>
        <v>0</v>
      </c>
      <c r="H111" s="1046"/>
      <c r="I111" s="1046"/>
      <c r="J111" s="1046"/>
      <c r="K111" s="1046"/>
      <c r="L111" s="1046"/>
      <c r="M111" s="1046"/>
      <c r="N111" s="1046"/>
      <c r="O111" s="1046"/>
      <c r="P111" s="1046"/>
      <c r="Q111" s="1046"/>
      <c r="R111" s="1046"/>
      <c r="S111" s="1046"/>
    </row>
    <row r="112" spans="1:19">
      <c r="A112" s="1076">
        <f t="shared" si="28"/>
        <v>2.9599999999999795</v>
      </c>
      <c r="B112" s="847" t="s">
        <v>1246</v>
      </c>
      <c r="C112" s="847">
        <f t="shared" si="35"/>
        <v>0</v>
      </c>
      <c r="D112" s="847">
        <f t="shared" si="36"/>
        <v>0</v>
      </c>
      <c r="E112" s="1046">
        <v>0</v>
      </c>
      <c r="F112" s="1046">
        <v>0</v>
      </c>
      <c r="G112" s="1046">
        <f t="shared" si="20"/>
        <v>0</v>
      </c>
      <c r="H112" s="1046"/>
      <c r="I112" s="1046"/>
      <c r="J112" s="1046"/>
      <c r="K112" s="1046"/>
      <c r="L112" s="1046"/>
      <c r="M112" s="1046"/>
      <c r="N112" s="1046"/>
      <c r="O112" s="1046"/>
      <c r="P112" s="1046"/>
      <c r="Q112" s="1046"/>
      <c r="R112" s="1046"/>
      <c r="S112" s="1046"/>
    </row>
    <row r="113" spans="1:256">
      <c r="A113" s="1076">
        <f t="shared" si="28"/>
        <v>2.9699999999999793</v>
      </c>
      <c r="B113" s="847" t="s">
        <v>1247</v>
      </c>
      <c r="C113" s="847">
        <f t="shared" si="35"/>
        <v>714884.62</v>
      </c>
      <c r="D113" s="847">
        <f t="shared" si="36"/>
        <v>1397429.13</v>
      </c>
      <c r="E113" s="1046">
        <v>-714884.62</v>
      </c>
      <c r="F113" s="1046">
        <v>-1397429.13</v>
      </c>
      <c r="G113" s="1046">
        <f t="shared" si="20"/>
        <v>0</v>
      </c>
      <c r="H113" s="1046"/>
      <c r="I113" s="1046"/>
      <c r="J113" s="1046"/>
      <c r="K113" s="1046"/>
      <c r="L113" s="1046"/>
      <c r="M113" s="1046"/>
      <c r="N113" s="1046"/>
      <c r="O113" s="1046"/>
      <c r="P113" s="1046"/>
      <c r="Q113" s="1046"/>
      <c r="R113" s="1046"/>
      <c r="S113" s="1046"/>
    </row>
    <row r="114" spans="1:256">
      <c r="A114" s="1076">
        <f t="shared" si="28"/>
        <v>2.9799999999999791</v>
      </c>
      <c r="B114" s="847" t="s">
        <v>1248</v>
      </c>
      <c r="C114" s="847">
        <f t="shared" si="35"/>
        <v>30751.87</v>
      </c>
      <c r="D114" s="847">
        <f t="shared" si="36"/>
        <v>28189.21</v>
      </c>
      <c r="E114" s="1046">
        <v>-30751.87</v>
      </c>
      <c r="F114" s="1046">
        <v>-28189.21</v>
      </c>
      <c r="G114" s="1046">
        <f t="shared" si="20"/>
        <v>0</v>
      </c>
      <c r="H114" s="1046"/>
      <c r="I114" s="1046"/>
      <c r="J114" s="1046"/>
      <c r="K114" s="1046"/>
      <c r="L114" s="1046"/>
      <c r="M114" s="1046"/>
      <c r="N114" s="1046"/>
      <c r="O114" s="1046"/>
      <c r="P114" s="1046"/>
      <c r="Q114" s="1046"/>
      <c r="R114" s="1046"/>
      <c r="S114" s="1046"/>
    </row>
    <row r="115" spans="1:256">
      <c r="A115" s="1076">
        <f t="shared" si="28"/>
        <v>2.9899999999999789</v>
      </c>
      <c r="B115" s="847" t="s">
        <v>1249</v>
      </c>
      <c r="C115" s="847">
        <f t="shared" si="35"/>
        <v>0</v>
      </c>
      <c r="D115" s="847">
        <f t="shared" si="36"/>
        <v>0</v>
      </c>
      <c r="E115" s="1046">
        <v>0</v>
      </c>
      <c r="F115" s="1046">
        <v>0</v>
      </c>
      <c r="G115" s="1046">
        <f t="shared" si="20"/>
        <v>0</v>
      </c>
      <c r="H115" s="1046"/>
      <c r="I115" s="1046"/>
      <c r="J115" s="1046"/>
      <c r="K115" s="1046"/>
      <c r="L115" s="1046"/>
      <c r="M115" s="1046"/>
      <c r="N115" s="1046"/>
      <c r="O115" s="1046"/>
      <c r="P115" s="1046"/>
      <c r="Q115" s="1046"/>
      <c r="R115" s="1046"/>
      <c r="S115" s="1046"/>
    </row>
    <row r="116" spans="1:256">
      <c r="A116" s="1076">
        <f t="shared" si="28"/>
        <v>2.9999999999999787</v>
      </c>
      <c r="B116" s="847" t="s">
        <v>1250</v>
      </c>
      <c r="C116" s="1046">
        <f>SUM(M116:O116)</f>
        <v>0</v>
      </c>
      <c r="D116" s="1046">
        <f>SUM(Q116:S116)</f>
        <v>0</v>
      </c>
      <c r="E116" s="1046">
        <v>0</v>
      </c>
      <c r="F116" s="1046">
        <v>0</v>
      </c>
      <c r="G116" s="1046">
        <f t="shared" si="20"/>
        <v>0</v>
      </c>
      <c r="H116" s="1046"/>
      <c r="I116" s="1046">
        <f>(M116+Q116)/2</f>
        <v>0</v>
      </c>
      <c r="J116" s="1046">
        <f>(N116+R116)/2</f>
        <v>0</v>
      </c>
      <c r="K116" s="1046">
        <f>(O116+S116)/2</f>
        <v>0</v>
      </c>
      <c r="L116" s="1046"/>
      <c r="M116" s="1046">
        <v>0</v>
      </c>
      <c r="N116" s="1046">
        <v>0</v>
      </c>
      <c r="O116" s="1046">
        <v>0</v>
      </c>
      <c r="P116" s="1046"/>
      <c r="Q116" s="1046">
        <v>0</v>
      </c>
      <c r="R116" s="1046">
        <v>0</v>
      </c>
      <c r="S116" s="1046">
        <v>0</v>
      </c>
    </row>
    <row r="117" spans="1:256">
      <c r="A117" s="1066"/>
      <c r="B117" s="1046"/>
      <c r="C117" s="1046"/>
      <c r="D117" s="1046"/>
      <c r="E117" s="1046"/>
      <c r="F117" s="1046"/>
      <c r="G117" s="1046"/>
      <c r="H117" s="1046"/>
      <c r="I117" s="1046"/>
      <c r="J117" s="1046"/>
      <c r="K117" s="1046"/>
      <c r="L117" s="1046"/>
      <c r="M117" s="1046"/>
      <c r="N117" s="1046"/>
      <c r="O117" s="1046"/>
      <c r="P117" s="1046"/>
      <c r="Q117" s="1046"/>
      <c r="R117" s="1046"/>
      <c r="S117" s="1046"/>
    </row>
    <row r="118" spans="1:256" ht="13.5" thickBot="1">
      <c r="A118" s="22">
        <v>3</v>
      </c>
      <c r="B118" s="1051" t="s">
        <v>741</v>
      </c>
      <c r="C118" s="1067">
        <f>SUM(C17:C117)</f>
        <v>480143224.59000003</v>
      </c>
      <c r="D118" s="1067">
        <f>SUM(D17:D117)</f>
        <v>494843652.49999994</v>
      </c>
      <c r="E118" s="1067">
        <f>SUM(E17:E117)</f>
        <v>-284617276.71000004</v>
      </c>
      <c r="F118" s="1067">
        <f>SUM(F17:F117)</f>
        <v>-257907217.15000004</v>
      </c>
      <c r="G118" s="1067">
        <f>SUM(G17:G117)</f>
        <v>216231192</v>
      </c>
      <c r="H118" s="1046"/>
      <c r="I118" s="1067">
        <f>SUM(I17:I117)</f>
        <v>97712042.799999997</v>
      </c>
      <c r="J118" s="1067">
        <f>SUM(J17:J117)</f>
        <v>44797746.365000002</v>
      </c>
      <c r="K118" s="1067">
        <f>SUM(K17:K117)</f>
        <v>73721402.449999988</v>
      </c>
      <c r="L118" s="1046"/>
      <c r="M118" s="1067">
        <f>SUM(M17:M117)</f>
        <v>80717611.779999986</v>
      </c>
      <c r="N118" s="1067">
        <f>SUM(N17:N117)</f>
        <v>42824564.360000007</v>
      </c>
      <c r="O118" s="1067">
        <f>SUM(O17:O117)</f>
        <v>71983771.739999995</v>
      </c>
      <c r="P118" s="1046"/>
      <c r="Q118" s="1067">
        <f>SUM(Q17:Q117)</f>
        <v>114706473.81999999</v>
      </c>
      <c r="R118" s="1067">
        <f>SUM(R17:R117)</f>
        <v>46770928.369999997</v>
      </c>
      <c r="S118" s="1067">
        <f>SUM(S17:S117)</f>
        <v>75459033.159999996</v>
      </c>
    </row>
    <row r="119" spans="1:256" ht="13.5" thickTop="1">
      <c r="A119" s="1">
        <v>4</v>
      </c>
      <c r="B119" s="1116" t="s">
        <v>744</v>
      </c>
      <c r="C119" s="1117">
        <f>C82+C83</f>
        <v>23303239.300000004</v>
      </c>
      <c r="D119" s="1117">
        <f t="shared" ref="D119:S119" si="37">D82+D83</f>
        <v>65742850.010000005</v>
      </c>
      <c r="E119" s="1117">
        <f t="shared" si="37"/>
        <v>0</v>
      </c>
      <c r="F119" s="1117">
        <f t="shared" si="37"/>
        <v>0</v>
      </c>
      <c r="G119" s="1117">
        <f t="shared" si="37"/>
        <v>44523044</v>
      </c>
      <c r="H119" s="6"/>
      <c r="I119" s="1117">
        <f t="shared" si="37"/>
        <v>44324207.920000002</v>
      </c>
      <c r="J119" s="1117">
        <f t="shared" si="37"/>
        <v>6064.8099999999995</v>
      </c>
      <c r="K119" s="1117">
        <f t="shared" si="37"/>
        <v>192771.92499999999</v>
      </c>
      <c r="L119" s="6"/>
      <c r="M119" s="1117">
        <f t="shared" si="37"/>
        <v>23106778.010000002</v>
      </c>
      <c r="N119" s="1117">
        <f t="shared" si="37"/>
        <v>5879.78</v>
      </c>
      <c r="O119" s="1117">
        <f t="shared" si="37"/>
        <v>190581.51</v>
      </c>
      <c r="P119" s="6"/>
      <c r="Q119" s="1117">
        <f t="shared" si="37"/>
        <v>65541637.829999998</v>
      </c>
      <c r="R119" s="1117">
        <f t="shared" si="37"/>
        <v>6249.84</v>
      </c>
      <c r="S119" s="1117">
        <f t="shared" si="37"/>
        <v>194962.34</v>
      </c>
      <c r="T119" s="6"/>
      <c r="IV119" s="1068"/>
    </row>
    <row r="120" spans="1:256">
      <c r="I120" s="1068"/>
    </row>
  </sheetData>
  <pageMargins left="0.7" right="0.7" top="0.75" bottom="0.75" header="0.3" footer="0.3"/>
  <pageSetup scale="3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opLeftCell="A16" zoomScaleNormal="100" workbookViewId="0">
      <selection activeCell="O48" sqref="O48"/>
    </sheetView>
  </sheetViews>
  <sheetFormatPr defaultColWidth="10" defaultRowHeight="12"/>
  <cols>
    <col min="1" max="1" width="9.42578125" style="1370" customWidth="1"/>
    <col min="2" max="2" width="20.85546875" style="1371" customWidth="1"/>
    <col min="3" max="3" width="35.5703125" style="1370" customWidth="1"/>
    <col min="4" max="4" width="12.85546875" style="1370" customWidth="1"/>
    <col min="5" max="5" width="10.42578125" style="1370" customWidth="1"/>
    <col min="6" max="6" width="16.42578125" style="1370" customWidth="1"/>
    <col min="7" max="7" width="12" style="1370" customWidth="1"/>
    <col min="8" max="8" width="14.28515625" style="1370" bestFit="1" customWidth="1"/>
    <col min="9" max="9" width="18.85546875" style="1370" customWidth="1"/>
    <col min="10" max="10" width="15.5703125" style="1370" customWidth="1"/>
    <col min="11" max="11" width="16.140625" style="1370" customWidth="1"/>
    <col min="12" max="13" width="15" style="1370" customWidth="1"/>
    <col min="14" max="14" width="13.5703125" style="1370" customWidth="1"/>
    <col min="15" max="15" width="15" style="1370" customWidth="1"/>
    <col min="16" max="17" width="17.5703125" style="1370" customWidth="1"/>
    <col min="18" max="18" width="33" style="1370" customWidth="1"/>
    <col min="19" max="19" width="15" style="1370" customWidth="1"/>
    <col min="20" max="21" width="14.5703125" style="1370" bestFit="1" customWidth="1"/>
    <col min="22" max="22" width="10.5703125" style="1370" bestFit="1" customWidth="1"/>
    <col min="23" max="16384" width="10" style="1370"/>
  </cols>
  <sheetData>
    <row r="1" spans="1:23" ht="15">
      <c r="A1" s="1380" t="s">
        <v>1260</v>
      </c>
      <c r="B1" s="1379"/>
      <c r="C1" s="1379"/>
      <c r="D1" s="1379"/>
      <c r="E1" s="1379"/>
      <c r="F1" s="1379"/>
      <c r="G1" s="1379"/>
      <c r="H1" s="1379"/>
      <c r="I1" s="1379"/>
      <c r="J1" s="1379"/>
      <c r="K1" s="1379"/>
      <c r="L1" s="1379"/>
      <c r="M1" s="1379"/>
      <c r="N1" s="1379"/>
      <c r="O1" s="1379"/>
      <c r="P1" s="1379"/>
      <c r="Q1" s="1379"/>
      <c r="R1" s="1439"/>
      <c r="S1" s="1379"/>
      <c r="T1" s="1379"/>
      <c r="U1" s="1379"/>
      <c r="V1" s="1379"/>
      <c r="W1" s="1379"/>
    </row>
    <row r="2" spans="1:23" ht="15">
      <c r="A2" s="1380" t="s">
        <v>1261</v>
      </c>
      <c r="B2" s="1379"/>
      <c r="C2" s="1379"/>
      <c r="D2" s="1379"/>
      <c r="E2" s="1379"/>
      <c r="F2" s="1379"/>
      <c r="G2" s="1379"/>
      <c r="H2" s="1379"/>
      <c r="I2" s="1379"/>
      <c r="J2" s="1379"/>
      <c r="K2" s="1379"/>
      <c r="L2" s="1379"/>
      <c r="M2" s="1379"/>
      <c r="N2" s="1379"/>
      <c r="O2" s="1379"/>
      <c r="P2" s="1379"/>
      <c r="Q2" s="1379"/>
      <c r="R2" s="1439"/>
      <c r="S2" s="1379"/>
      <c r="T2" s="1379"/>
      <c r="U2" s="1379"/>
      <c r="V2" s="1382"/>
      <c r="W2" s="1379"/>
    </row>
    <row r="3" spans="1:23" ht="15">
      <c r="A3" s="1380" t="s">
        <v>1262</v>
      </c>
      <c r="B3" s="1379"/>
      <c r="C3" s="1379"/>
      <c r="D3" s="1379"/>
      <c r="E3" s="1379"/>
      <c r="F3" s="1379"/>
      <c r="G3" s="1379"/>
      <c r="H3" s="1379"/>
      <c r="I3" s="1379"/>
      <c r="J3" s="1379"/>
      <c r="K3" s="1379"/>
      <c r="L3" s="1379"/>
      <c r="M3" s="1379"/>
      <c r="N3" s="1379"/>
      <c r="O3" s="1379"/>
      <c r="P3" s="1379"/>
      <c r="Q3" s="1379"/>
      <c r="R3" s="1439"/>
      <c r="S3" s="1379"/>
      <c r="T3" s="1379"/>
      <c r="U3" s="1379"/>
      <c r="V3" s="1383"/>
      <c r="W3" s="1379"/>
    </row>
    <row r="4" spans="1:23" ht="15">
      <c r="A4" s="1380" t="s">
        <v>1418</v>
      </c>
      <c r="B4" s="1379"/>
      <c r="C4" s="1379"/>
      <c r="D4" s="1379"/>
      <c r="E4" s="1379"/>
      <c r="F4" s="1379"/>
      <c r="G4" s="1379"/>
      <c r="H4" s="1379"/>
      <c r="I4" s="1379"/>
      <c r="J4" s="1379"/>
      <c r="K4" s="1379"/>
      <c r="L4" s="1379"/>
      <c r="M4" s="1379"/>
      <c r="N4" s="1379"/>
      <c r="O4" s="1379"/>
      <c r="P4" s="1379"/>
      <c r="Q4" s="1379"/>
      <c r="R4" s="1439"/>
      <c r="S4" s="1379"/>
      <c r="T4" s="1379"/>
      <c r="U4" s="1379"/>
      <c r="V4" s="1383"/>
      <c r="W4" s="1379"/>
    </row>
    <row r="5" spans="1:23" ht="15">
      <c r="A5" s="1380" t="s">
        <v>1263</v>
      </c>
      <c r="B5" s="1379"/>
      <c r="C5" s="1379"/>
      <c r="D5" s="1379"/>
      <c r="E5" s="1379"/>
      <c r="F5" s="1379"/>
      <c r="G5" s="1384"/>
      <c r="H5" s="1379"/>
      <c r="I5" s="1379"/>
      <c r="J5" s="1379"/>
      <c r="K5" s="1379"/>
      <c r="L5" s="1379"/>
      <c r="M5" s="1379"/>
      <c r="N5" s="1379"/>
      <c r="O5" s="1379"/>
      <c r="P5" s="1379"/>
      <c r="Q5" s="1379"/>
      <c r="R5" s="1379"/>
      <c r="S5" s="1379"/>
      <c r="T5" s="1379"/>
      <c r="U5" s="1379"/>
      <c r="V5" s="1379"/>
      <c r="W5" s="1379"/>
    </row>
    <row r="6" spans="1:23" ht="15">
      <c r="A6" s="1379"/>
      <c r="B6" s="1379"/>
      <c r="C6" s="1379"/>
      <c r="D6" s="1379"/>
      <c r="E6" s="1379"/>
      <c r="F6" s="1379"/>
      <c r="G6" s="1379"/>
      <c r="H6" s="1379"/>
      <c r="I6" s="1385"/>
      <c r="J6" s="1385"/>
      <c r="K6" s="1379"/>
      <c r="L6" s="1379"/>
      <c r="M6" s="1379"/>
      <c r="N6" s="1379"/>
      <c r="O6" s="1379"/>
      <c r="P6" s="1385"/>
      <c r="Q6" s="1385"/>
      <c r="R6" s="1379"/>
      <c r="S6" s="1379"/>
      <c r="T6" s="1379"/>
      <c r="U6" s="1379"/>
      <c r="V6" s="1379"/>
      <c r="W6" s="1379"/>
    </row>
    <row r="7" spans="1:23" ht="15">
      <c r="A7" s="1379"/>
      <c r="B7" s="1386"/>
      <c r="C7" s="1386"/>
      <c r="D7" s="1386"/>
      <c r="E7" s="1386"/>
      <c r="F7" s="1386"/>
      <c r="G7" s="1386"/>
      <c r="H7" s="1386"/>
      <c r="I7" s="1386"/>
      <c r="J7" s="1386"/>
      <c r="K7" s="1386"/>
      <c r="L7" s="1386"/>
      <c r="M7" s="1386"/>
      <c r="N7" s="1386"/>
      <c r="O7" s="1386"/>
      <c r="P7" s="1386"/>
      <c r="Q7" s="1381"/>
      <c r="R7" s="1379"/>
      <c r="S7" s="1379"/>
      <c r="T7" s="1379"/>
      <c r="U7" s="1379"/>
      <c r="V7" s="1379"/>
      <c r="W7" s="1379"/>
    </row>
    <row r="8" spans="1:23" ht="15">
      <c r="A8" s="1381" t="s">
        <v>148</v>
      </c>
      <c r="B8" s="1381" t="s">
        <v>149</v>
      </c>
      <c r="C8" s="1381" t="s">
        <v>150</v>
      </c>
      <c r="D8" s="1381" t="s">
        <v>151</v>
      </c>
      <c r="E8" s="1381" t="s">
        <v>152</v>
      </c>
      <c r="F8" s="1381" t="s">
        <v>153</v>
      </c>
      <c r="G8" s="1381" t="s">
        <v>154</v>
      </c>
      <c r="H8" s="1381" t="s">
        <v>155</v>
      </c>
      <c r="I8" s="1381" t="s">
        <v>1264</v>
      </c>
      <c r="J8" s="1381" t="s">
        <v>1265</v>
      </c>
      <c r="K8" s="1381" t="s">
        <v>158</v>
      </c>
      <c r="L8" s="1381" t="s">
        <v>159</v>
      </c>
      <c r="M8" s="1381" t="s">
        <v>160</v>
      </c>
      <c r="N8" s="1381" t="s">
        <v>245</v>
      </c>
      <c r="O8" s="1381" t="s">
        <v>304</v>
      </c>
      <c r="P8" s="1381" t="s">
        <v>350</v>
      </c>
      <c r="Q8" s="1381" t="s">
        <v>351</v>
      </c>
      <c r="R8" s="1381" t="s">
        <v>352</v>
      </c>
      <c r="S8" s="1379"/>
      <c r="T8" s="1379"/>
      <c r="U8" s="1379"/>
      <c r="V8" s="1379"/>
      <c r="W8" s="1379"/>
    </row>
    <row r="9" spans="1:23" ht="15">
      <c r="A9" s="1387" t="s">
        <v>1266</v>
      </c>
      <c r="B9" s="1388"/>
      <c r="C9" s="1388"/>
      <c r="D9" s="1388"/>
      <c r="E9" s="1388"/>
      <c r="F9" s="1379"/>
      <c r="G9" s="1379"/>
      <c r="H9" s="1379"/>
      <c r="I9" s="1502" t="s">
        <v>1416</v>
      </c>
      <c r="J9" s="1502"/>
      <c r="K9" s="1503" t="s">
        <v>1267</v>
      </c>
      <c r="L9" s="1503"/>
      <c r="M9" s="1503"/>
      <c r="N9" s="1504" t="s">
        <v>1268</v>
      </c>
      <c r="O9" s="1504"/>
      <c r="P9" s="1502" t="s">
        <v>1417</v>
      </c>
      <c r="Q9" s="1502"/>
      <c r="R9" s="1379"/>
      <c r="S9" s="1379"/>
      <c r="T9" s="1379"/>
      <c r="U9" s="1379"/>
      <c r="V9" s="1379"/>
      <c r="W9" s="1379"/>
    </row>
    <row r="10" spans="1:23" ht="14.45" customHeight="1">
      <c r="A10" s="1389" t="s">
        <v>1269</v>
      </c>
      <c r="B10" s="1390" t="s">
        <v>1270</v>
      </c>
      <c r="C10" s="1390" t="s">
        <v>1271</v>
      </c>
      <c r="D10" s="1391" t="s">
        <v>1272</v>
      </c>
      <c r="E10" s="1391" t="s">
        <v>1273</v>
      </c>
      <c r="F10" s="1391" t="s">
        <v>1340</v>
      </c>
      <c r="G10" s="1391" t="s">
        <v>1341</v>
      </c>
      <c r="H10" s="1391" t="s">
        <v>1274</v>
      </c>
      <c r="I10" s="1392" t="s">
        <v>1275</v>
      </c>
      <c r="J10" s="1392" t="s">
        <v>1276</v>
      </c>
      <c r="K10" s="1393" t="s">
        <v>1277</v>
      </c>
      <c r="L10" s="1393">
        <v>182.3</v>
      </c>
      <c r="M10" s="1393">
        <v>254</v>
      </c>
      <c r="N10" s="1393" t="s">
        <v>1342</v>
      </c>
      <c r="O10" s="1393" t="s">
        <v>1278</v>
      </c>
      <c r="P10" s="1392" t="s">
        <v>1275</v>
      </c>
      <c r="Q10" s="1392" t="s">
        <v>1276</v>
      </c>
      <c r="R10" s="1394" t="s">
        <v>1279</v>
      </c>
      <c r="S10" s="1431"/>
      <c r="T10" s="1379"/>
      <c r="U10" s="1379"/>
      <c r="V10" s="1379"/>
      <c r="W10" s="1379"/>
    </row>
    <row r="11" spans="1:23" ht="15">
      <c r="A11" s="1379"/>
      <c r="B11" s="1380"/>
      <c r="C11" s="1379"/>
      <c r="D11" s="1396"/>
      <c r="E11" s="1396"/>
      <c r="F11" s="1396"/>
      <c r="G11" s="1396"/>
      <c r="H11" s="1396"/>
      <c r="I11" s="1395"/>
      <c r="J11" s="1395"/>
      <c r="K11" s="1395"/>
      <c r="L11" s="1395"/>
      <c r="M11" s="1395"/>
      <c r="N11" s="1395"/>
      <c r="O11" s="1395"/>
      <c r="P11" s="1505" t="s">
        <v>1280</v>
      </c>
      <c r="Q11" s="1505"/>
      <c r="R11" s="1394"/>
      <c r="S11" s="1431"/>
      <c r="T11" s="1379"/>
      <c r="U11" s="1379"/>
      <c r="V11" s="1379"/>
      <c r="W11" s="1379"/>
    </row>
    <row r="12" spans="1:23" ht="15">
      <c r="A12" s="1379"/>
      <c r="B12" s="1397" t="s">
        <v>1281</v>
      </c>
      <c r="C12" s="1398"/>
      <c r="D12" s="1398"/>
      <c r="E12" s="1398"/>
      <c r="F12" s="1398"/>
      <c r="G12" s="1398"/>
      <c r="H12" s="1398"/>
      <c r="I12" s="1398"/>
      <c r="J12" s="1398"/>
      <c r="K12" s="1398"/>
      <c r="L12" s="1398"/>
      <c r="M12" s="1398"/>
      <c r="N12" s="1398"/>
      <c r="O12" s="1398"/>
      <c r="P12" s="1398"/>
      <c r="Q12" s="1398"/>
      <c r="R12" s="1383"/>
      <c r="S12" s="1379"/>
      <c r="T12" s="1379"/>
      <c r="U12" s="1379"/>
      <c r="V12" s="1379"/>
      <c r="W12" s="1383"/>
    </row>
    <row r="13" spans="1:23" ht="15">
      <c r="A13" s="1380" t="s">
        <v>1282</v>
      </c>
      <c r="B13" s="1434" t="s">
        <v>1283</v>
      </c>
      <c r="C13" s="1380" t="s">
        <v>1284</v>
      </c>
      <c r="D13" s="1400" t="s">
        <v>1285</v>
      </c>
      <c r="E13" s="1400" t="s">
        <v>1286</v>
      </c>
      <c r="F13" s="1401"/>
      <c r="G13" s="1400"/>
      <c r="H13" s="1400"/>
      <c r="I13" s="1441">
        <v>222763076</v>
      </c>
      <c r="J13" s="1442" t="s">
        <v>114</v>
      </c>
      <c r="K13" s="1441"/>
      <c r="L13" s="1441"/>
      <c r="M13" s="1441">
        <v>-24466259</v>
      </c>
      <c r="N13" s="1441"/>
      <c r="O13" s="1441"/>
      <c r="P13" s="1443">
        <f>SUM(I13:O13)</f>
        <v>198296817</v>
      </c>
      <c r="Q13" s="1415" t="s">
        <v>114</v>
      </c>
      <c r="R13" s="1406" t="s">
        <v>1415</v>
      </c>
      <c r="S13" s="1379"/>
      <c r="T13" s="1379"/>
      <c r="U13" s="1379"/>
      <c r="V13" s="1379"/>
      <c r="W13" s="1383"/>
    </row>
    <row r="14" spans="1:23" ht="15">
      <c r="A14" s="1400" t="s">
        <v>1287</v>
      </c>
      <c r="B14" s="1434" t="s">
        <v>1288</v>
      </c>
      <c r="C14" s="1440" t="s">
        <v>1289</v>
      </c>
      <c r="D14" s="1440" t="s">
        <v>1290</v>
      </c>
      <c r="E14" s="1400" t="s">
        <v>1286</v>
      </c>
      <c r="F14" s="1450">
        <v>-115991956</v>
      </c>
      <c r="G14" s="1408" t="s">
        <v>1297</v>
      </c>
      <c r="H14" s="1408" t="s">
        <v>1298</v>
      </c>
      <c r="I14" s="1442"/>
      <c r="J14" s="1406">
        <v>-100140968</v>
      </c>
      <c r="K14" s="1402"/>
      <c r="L14" s="1402"/>
      <c r="M14" s="1402"/>
      <c r="N14" s="1402">
        <v>4029683</v>
      </c>
      <c r="O14" s="1402">
        <v>311331</v>
      </c>
      <c r="P14" s="1415"/>
      <c r="Q14" s="1443">
        <f>SUM(I14:O14)</f>
        <v>-95799954</v>
      </c>
      <c r="R14" s="1406"/>
      <c r="S14" s="1379"/>
      <c r="T14" s="1379"/>
      <c r="U14" s="1379"/>
      <c r="V14" s="1379"/>
      <c r="W14" s="1445"/>
    </row>
    <row r="15" spans="1:23" s="1374" customFormat="1" ht="15">
      <c r="A15" s="1400" t="s">
        <v>1291</v>
      </c>
      <c r="B15" s="1434" t="s">
        <v>1292</v>
      </c>
      <c r="C15" s="1440" t="s">
        <v>1293</v>
      </c>
      <c r="D15" s="1440" t="s">
        <v>1290</v>
      </c>
      <c r="E15" s="1400" t="s">
        <v>1286</v>
      </c>
      <c r="F15" s="1401"/>
      <c r="G15" s="1400"/>
      <c r="H15" s="1400"/>
      <c r="I15" s="1406">
        <v>100140968</v>
      </c>
      <c r="J15" s="1415"/>
      <c r="K15" s="1402"/>
      <c r="L15" s="1402"/>
      <c r="M15" s="1402">
        <v>-4341014</v>
      </c>
      <c r="N15" s="1402"/>
      <c r="O15" s="1402"/>
      <c r="P15" s="1443">
        <f>SUM(I15:O15)</f>
        <v>95799954</v>
      </c>
      <c r="Q15" s="1415"/>
      <c r="R15" s="1406" t="s">
        <v>1361</v>
      </c>
      <c r="S15" s="1379"/>
      <c r="T15" s="1379"/>
      <c r="U15" s="1379"/>
      <c r="V15" s="1379"/>
      <c r="W15" s="1445"/>
    </row>
    <row r="16" spans="1:23" s="1374" customFormat="1" ht="15">
      <c r="A16" s="1380" t="s">
        <v>1294</v>
      </c>
      <c r="B16" s="1434" t="s">
        <v>1295</v>
      </c>
      <c r="C16" s="1380" t="s">
        <v>1296</v>
      </c>
      <c r="D16" s="1400" t="s">
        <v>1290</v>
      </c>
      <c r="E16" s="1400" t="s">
        <v>1286</v>
      </c>
      <c r="F16" s="1407">
        <v>-568878716</v>
      </c>
      <c r="G16" s="1408" t="s">
        <v>1297</v>
      </c>
      <c r="H16" s="1408" t="s">
        <v>1298</v>
      </c>
      <c r="I16" s="1415" t="s">
        <v>114</v>
      </c>
      <c r="J16" s="1444">
        <v>-446652704</v>
      </c>
      <c r="K16" s="1444"/>
      <c r="L16" s="1444"/>
      <c r="M16" s="1444"/>
      <c r="N16" s="1444">
        <v>16858129</v>
      </c>
      <c r="O16" s="1444">
        <v>646718</v>
      </c>
      <c r="P16" s="1415" t="s">
        <v>114</v>
      </c>
      <c r="Q16" s="1443">
        <f>SUM(I16:O16)</f>
        <v>-429147857</v>
      </c>
      <c r="R16" s="1509" t="s">
        <v>1420</v>
      </c>
      <c r="S16" s="1379"/>
      <c r="T16" s="1379"/>
      <c r="U16" s="1379"/>
      <c r="V16" s="1379"/>
      <c r="W16" s="1383"/>
    </row>
    <row r="17" spans="1:23" ht="15">
      <c r="A17" s="1380" t="s">
        <v>1299</v>
      </c>
      <c r="B17" s="1434" t="s">
        <v>1295</v>
      </c>
      <c r="C17" s="1380" t="s">
        <v>1296</v>
      </c>
      <c r="D17" s="1400" t="s">
        <v>1300</v>
      </c>
      <c r="E17" s="1400" t="s">
        <v>1286</v>
      </c>
      <c r="F17" s="1410">
        <v>-230625401</v>
      </c>
      <c r="G17" s="1408" t="s">
        <v>1301</v>
      </c>
      <c r="H17" s="1408" t="s">
        <v>1302</v>
      </c>
      <c r="I17" s="1415"/>
      <c r="J17" s="1402">
        <v>-326525813</v>
      </c>
      <c r="K17" s="1402"/>
      <c r="L17" s="1402"/>
      <c r="M17" s="1402"/>
      <c r="N17" s="1402">
        <v>61197481</v>
      </c>
      <c r="O17" s="1402">
        <v>-24874320</v>
      </c>
      <c r="P17" s="1415"/>
      <c r="Q17" s="1443">
        <f>SUM(I17:O17)</f>
        <v>-290202652</v>
      </c>
      <c r="R17" s="1509"/>
      <c r="S17" s="1379"/>
      <c r="T17" s="1379"/>
      <c r="U17" s="1379"/>
      <c r="V17" s="1379"/>
      <c r="W17" s="1383"/>
    </row>
    <row r="18" spans="1:23" ht="15">
      <c r="A18" s="1380" t="s">
        <v>1303</v>
      </c>
      <c r="B18" s="1434" t="s">
        <v>1304</v>
      </c>
      <c r="C18" s="1380" t="s">
        <v>1305</v>
      </c>
      <c r="D18" s="1400" t="s">
        <v>1290</v>
      </c>
      <c r="E18" s="1400" t="s">
        <v>1286</v>
      </c>
      <c r="F18" s="1410"/>
      <c r="G18" s="1408"/>
      <c r="H18" s="1408"/>
      <c r="I18" s="1402">
        <v>446652706</v>
      </c>
      <c r="J18" s="1415"/>
      <c r="K18" s="1402"/>
      <c r="L18" s="1402"/>
      <c r="M18" s="1402">
        <v>-17504848</v>
      </c>
      <c r="N18" s="1402"/>
      <c r="O18" s="1402"/>
      <c r="P18" s="1443">
        <f>SUM(I18:O18)</f>
        <v>429147858</v>
      </c>
      <c r="Q18" s="1415"/>
      <c r="R18" s="1511" t="s">
        <v>1421</v>
      </c>
      <c r="S18" s="1379"/>
      <c r="T18" s="1379"/>
      <c r="U18" s="1379"/>
      <c r="V18" s="1379"/>
      <c r="W18" s="1383"/>
    </row>
    <row r="19" spans="1:23" ht="15">
      <c r="A19" s="1380" t="s">
        <v>1306</v>
      </c>
      <c r="B19" s="1434" t="s">
        <v>1304</v>
      </c>
      <c r="C19" s="1380" t="s">
        <v>1305</v>
      </c>
      <c r="D19" s="1400" t="s">
        <v>1300</v>
      </c>
      <c r="E19" s="1400" t="s">
        <v>1286</v>
      </c>
      <c r="F19" s="1410"/>
      <c r="G19" s="1408"/>
      <c r="H19" s="1408"/>
      <c r="I19" s="1402">
        <v>326525812</v>
      </c>
      <c r="J19" s="1415"/>
      <c r="K19" s="1402"/>
      <c r="L19" s="1402"/>
      <c r="M19" s="1402">
        <v>-36323161</v>
      </c>
      <c r="N19" s="1402"/>
      <c r="O19" s="1402"/>
      <c r="P19" s="1443">
        <f>SUM(I19:O19)</f>
        <v>290202651</v>
      </c>
      <c r="Q19" s="1415"/>
      <c r="R19" s="1511"/>
      <c r="S19" s="1379"/>
      <c r="T19" s="1379"/>
      <c r="U19" s="1379"/>
      <c r="V19" s="1379"/>
      <c r="W19" s="1383"/>
    </row>
    <row r="20" spans="1:23" ht="15">
      <c r="A20" s="1380" t="s">
        <v>1307</v>
      </c>
      <c r="B20" s="1434" t="s">
        <v>1308</v>
      </c>
      <c r="C20" s="1380" t="s">
        <v>1309</v>
      </c>
      <c r="D20" s="1400" t="s">
        <v>1300</v>
      </c>
      <c r="E20" s="1400" t="s">
        <v>1286</v>
      </c>
      <c r="F20" s="1410">
        <v>-12804071</v>
      </c>
      <c r="G20" s="1408" t="s">
        <v>1301</v>
      </c>
      <c r="H20" s="1408" t="s">
        <v>1302</v>
      </c>
      <c r="I20" s="1415" t="s">
        <v>114</v>
      </c>
      <c r="J20" s="1402">
        <v>166491454</v>
      </c>
      <c r="K20" s="1402"/>
      <c r="L20" s="1402"/>
      <c r="M20" s="1402"/>
      <c r="N20" s="1402">
        <v>-5843430</v>
      </c>
      <c r="O20" s="1402">
        <v>23701158</v>
      </c>
      <c r="P20" s="1409" t="s">
        <v>114</v>
      </c>
      <c r="Q20" s="1443">
        <f>SUM(I20:O20)</f>
        <v>184349182</v>
      </c>
      <c r="R20" s="1406" t="s">
        <v>1422</v>
      </c>
      <c r="S20" s="1379"/>
      <c r="T20" s="1379"/>
      <c r="U20" s="1379"/>
      <c r="V20" s="1379"/>
      <c r="W20" s="1383"/>
    </row>
    <row r="21" spans="1:23" ht="15">
      <c r="A21" s="1380" t="s">
        <v>1310</v>
      </c>
      <c r="B21" s="1435" t="s">
        <v>1311</v>
      </c>
      <c r="C21" s="1380" t="s">
        <v>1312</v>
      </c>
      <c r="D21" s="1400" t="s">
        <v>1300</v>
      </c>
      <c r="E21" s="1400" t="s">
        <v>1286</v>
      </c>
      <c r="F21" s="1407"/>
      <c r="G21" s="1408"/>
      <c r="H21" s="1408"/>
      <c r="I21" s="1402">
        <v>-162317367</v>
      </c>
      <c r="J21" s="1403"/>
      <c r="K21" s="1402"/>
      <c r="L21" s="1402">
        <v>-3989650</v>
      </c>
      <c r="M21" s="1402">
        <v>-18042165</v>
      </c>
      <c r="N21" s="1402"/>
      <c r="O21" s="1402"/>
      <c r="P21" s="1443">
        <f>SUM(I21:O21)</f>
        <v>-184349182</v>
      </c>
      <c r="Q21" s="1409"/>
      <c r="R21" s="1436" t="s">
        <v>1423</v>
      </c>
      <c r="S21" s="1379"/>
      <c r="T21" s="1379"/>
      <c r="U21" s="1379"/>
      <c r="V21" s="1379"/>
      <c r="W21" s="1383"/>
    </row>
    <row r="22" spans="1:23" ht="15">
      <c r="A22" s="1380" t="s">
        <v>1313</v>
      </c>
      <c r="B22" s="1387" t="s">
        <v>1343</v>
      </c>
      <c r="C22" s="1379"/>
      <c r="D22" s="1400"/>
      <c r="E22" s="1400"/>
      <c r="F22" s="1407"/>
      <c r="G22" s="1408"/>
      <c r="H22" s="1408"/>
      <c r="I22" s="1402"/>
      <c r="J22" s="1402"/>
      <c r="K22" s="1402"/>
      <c r="L22" s="1402"/>
      <c r="M22" s="1402"/>
      <c r="N22" s="1402"/>
      <c r="O22" s="1402"/>
      <c r="P22" s="1405"/>
      <c r="Q22" s="1404"/>
      <c r="R22" s="1436"/>
      <c r="S22" s="1379"/>
      <c r="T22" s="1379"/>
      <c r="U22" s="1379"/>
      <c r="V22" s="1379"/>
      <c r="W22" s="1383"/>
    </row>
    <row r="23" spans="1:23" ht="15">
      <c r="A23" s="1379"/>
      <c r="B23" s="1437"/>
      <c r="C23" s="1437"/>
      <c r="D23" s="1437"/>
      <c r="E23" s="1437"/>
      <c r="F23" s="1437"/>
      <c r="G23" s="1437"/>
      <c r="H23" s="1437"/>
      <c r="I23" s="1437"/>
      <c r="J23" s="1437"/>
      <c r="K23" s="1437"/>
      <c r="L23" s="1437"/>
      <c r="M23" s="1437"/>
      <c r="N23" s="1379"/>
      <c r="O23" s="1379"/>
      <c r="P23" s="1447"/>
      <c r="Q23" s="1379"/>
      <c r="R23" s="1379"/>
      <c r="S23" s="1379"/>
      <c r="T23" s="1379"/>
      <c r="U23" s="1379"/>
      <c r="V23" s="1379"/>
      <c r="W23" s="1383"/>
    </row>
    <row r="24" spans="1:23" ht="15">
      <c r="A24" s="1380"/>
      <c r="B24" s="1397" t="s">
        <v>1314</v>
      </c>
      <c r="C24" s="1383"/>
      <c r="D24" s="1383"/>
      <c r="E24" s="1383"/>
      <c r="F24" s="1383"/>
      <c r="G24" s="1383"/>
      <c r="H24" s="1383"/>
      <c r="I24" s="1383"/>
      <c r="J24" s="1383"/>
      <c r="K24" s="1383"/>
      <c r="L24" s="1383"/>
      <c r="M24" s="1383"/>
      <c r="N24" s="1383"/>
      <c r="O24" s="1383"/>
      <c r="P24" s="1383"/>
      <c r="Q24" s="1412"/>
      <c r="R24" s="1446"/>
      <c r="S24" s="1379"/>
      <c r="T24" s="1379"/>
      <c r="U24" s="1379"/>
      <c r="V24" s="1379"/>
      <c r="W24" s="1383"/>
    </row>
    <row r="25" spans="1:23" s="1372" customFormat="1" ht="15">
      <c r="A25" s="1380" t="s">
        <v>1315</v>
      </c>
      <c r="B25" s="1399">
        <v>182.3</v>
      </c>
      <c r="C25" s="1414" t="s">
        <v>1316</v>
      </c>
      <c r="D25" s="1415" t="s">
        <v>114</v>
      </c>
      <c r="E25" s="1400" t="s">
        <v>1286</v>
      </c>
      <c r="F25" s="1415"/>
      <c r="G25" s="1415" t="s">
        <v>114</v>
      </c>
      <c r="H25" s="1415"/>
      <c r="I25" s="1416">
        <v>-4174087</v>
      </c>
      <c r="J25" s="1415"/>
      <c r="K25" s="1402"/>
      <c r="L25" s="1402">
        <v>4174087</v>
      </c>
      <c r="M25" s="1402"/>
      <c r="N25" s="1415"/>
      <c r="O25" s="1415"/>
      <c r="P25" s="1405">
        <f>SUM(I25:O25)</f>
        <v>0</v>
      </c>
      <c r="Q25" s="1411"/>
      <c r="R25" s="1406" t="s">
        <v>1317</v>
      </c>
      <c r="S25" s="1379"/>
      <c r="T25" s="1379"/>
      <c r="U25" s="1379"/>
      <c r="V25" s="1379"/>
      <c r="W25" s="1383"/>
    </row>
    <row r="26" spans="1:23" ht="11.45" customHeight="1">
      <c r="A26" s="1380" t="s">
        <v>1318</v>
      </c>
      <c r="B26" s="1399">
        <v>254</v>
      </c>
      <c r="C26" s="1414" t="s">
        <v>1319</v>
      </c>
      <c r="D26" s="1415" t="s">
        <v>114</v>
      </c>
      <c r="E26" s="1400" t="s">
        <v>1286</v>
      </c>
      <c r="F26" s="1415"/>
      <c r="G26" s="1415" t="s">
        <v>114</v>
      </c>
      <c r="H26" s="1415"/>
      <c r="I26" s="1416">
        <v>-929591108</v>
      </c>
      <c r="J26" s="1415"/>
      <c r="K26" s="1402"/>
      <c r="L26" s="1402"/>
      <c r="M26" s="1402">
        <f>24466259+4341014+17504848+36323161+17857730</f>
        <v>100493012</v>
      </c>
      <c r="N26" s="1415"/>
      <c r="O26" s="1415" t="s">
        <v>114</v>
      </c>
      <c r="P26" s="1405">
        <f>SUM(I26:O26)</f>
        <v>-829098096</v>
      </c>
      <c r="Q26" s="1411"/>
      <c r="R26" s="1406" t="s">
        <v>1320</v>
      </c>
      <c r="S26" s="1412"/>
      <c r="T26" s="1383"/>
      <c r="U26" s="1383"/>
      <c r="V26" s="1383"/>
      <c r="W26" s="1383"/>
    </row>
    <row r="27" spans="1:23" ht="11.45" customHeight="1">
      <c r="A27" s="1380" t="s">
        <v>1321</v>
      </c>
      <c r="B27" s="1387" t="s">
        <v>1343</v>
      </c>
      <c r="C27" s="1414"/>
      <c r="D27" s="1415"/>
      <c r="E27" s="1400"/>
      <c r="F27" s="1415"/>
      <c r="G27" s="1415"/>
      <c r="H27" s="1415"/>
      <c r="I27" s="1402"/>
      <c r="J27" s="1415"/>
      <c r="K27" s="1402"/>
      <c r="L27" s="1402"/>
      <c r="M27" s="1402"/>
      <c r="N27" s="1415"/>
      <c r="O27" s="1415"/>
      <c r="P27" s="1411"/>
      <c r="Q27" s="1411"/>
      <c r="R27" s="1406"/>
      <c r="S27" s="1412"/>
      <c r="T27" s="1383"/>
      <c r="U27" s="1383"/>
      <c r="V27" s="1383"/>
      <c r="W27" s="1383"/>
    </row>
    <row r="28" spans="1:23" ht="11.45" customHeight="1">
      <c r="A28" s="1379"/>
      <c r="B28" s="1399"/>
      <c r="C28" s="1414"/>
      <c r="D28" s="1386"/>
      <c r="E28" s="1386"/>
      <c r="F28" s="1386"/>
      <c r="G28" s="1386"/>
      <c r="H28" s="1386"/>
      <c r="I28" s="1386"/>
      <c r="J28" s="1386"/>
      <c r="K28" s="1386"/>
      <c r="L28" s="1386"/>
      <c r="M28" s="1386"/>
      <c r="N28" s="1386"/>
      <c r="O28" s="1386"/>
      <c r="P28" s="1386"/>
      <c r="Q28" s="1386"/>
      <c r="R28" s="1417"/>
      <c r="S28" s="1412"/>
      <c r="T28" s="1383"/>
      <c r="U28" s="1383"/>
      <c r="V28" s="1383"/>
      <c r="W28" s="1383"/>
    </row>
    <row r="29" spans="1:23" ht="12.75" thickBot="1">
      <c r="A29" s="1430">
        <v>3</v>
      </c>
      <c r="B29" s="1510" t="s">
        <v>1344</v>
      </c>
      <c r="C29" s="1510"/>
      <c r="D29" s="1415"/>
      <c r="E29" s="1415"/>
      <c r="F29" s="1415"/>
      <c r="G29" s="1415"/>
      <c r="H29" s="1415"/>
      <c r="I29" s="1418">
        <f t="shared" ref="I29:Q29" si="0">SUM(I13:I27)</f>
        <v>0</v>
      </c>
      <c r="J29" s="1449">
        <f t="shared" si="0"/>
        <v>-706828031</v>
      </c>
      <c r="K29" s="1449">
        <f t="shared" si="0"/>
        <v>0</v>
      </c>
      <c r="L29" s="1449">
        <f t="shared" si="0"/>
        <v>184437</v>
      </c>
      <c r="M29" s="1449">
        <f t="shared" si="0"/>
        <v>-184435</v>
      </c>
      <c r="N29" s="1449">
        <f>-SUM(N13:N27)</f>
        <v>-76241863</v>
      </c>
      <c r="O29" s="1449">
        <f>-SUM(O13:O27)</f>
        <v>215113</v>
      </c>
      <c r="P29" s="1449">
        <f t="shared" si="0"/>
        <v>2</v>
      </c>
      <c r="Q29" s="1449">
        <f t="shared" si="0"/>
        <v>-630801281</v>
      </c>
      <c r="R29" s="1419"/>
      <c r="S29" s="1412"/>
      <c r="T29" s="1383"/>
      <c r="U29" s="1383"/>
      <c r="V29" s="1383"/>
      <c r="W29" s="1383"/>
    </row>
    <row r="30" spans="1:23" ht="15.75" thickTop="1">
      <c r="A30" s="1379"/>
      <c r="B30" s="1399"/>
      <c r="C30" s="1414"/>
      <c r="D30" s="1386"/>
      <c r="E30" s="1386"/>
      <c r="F30" s="1386"/>
      <c r="G30" s="1386"/>
      <c r="H30" s="1386"/>
      <c r="I30" s="1420"/>
      <c r="J30" s="1410"/>
      <c r="K30" s="1421"/>
      <c r="L30" s="1421"/>
      <c r="M30" s="1421"/>
      <c r="N30" s="1422" t="s">
        <v>1345</v>
      </c>
      <c r="O30" s="1422"/>
      <c r="P30" s="1421"/>
      <c r="Q30" s="1423"/>
      <c r="R30" s="1419"/>
      <c r="S30" s="1412"/>
      <c r="T30" s="1383"/>
      <c r="U30" s="1383"/>
      <c r="V30" s="1383"/>
      <c r="W30" s="1383"/>
    </row>
    <row r="31" spans="1:23">
      <c r="A31" s="1387" t="s">
        <v>1322</v>
      </c>
      <c r="B31" s="1399"/>
      <c r="C31" s="1414"/>
      <c r="D31" s="1386"/>
      <c r="E31" s="1386"/>
      <c r="F31" s="1386"/>
      <c r="G31" s="1386"/>
      <c r="H31" s="1386"/>
      <c r="I31" s="1420"/>
      <c r="J31" s="1410"/>
      <c r="K31" s="1421"/>
      <c r="L31" s="1421"/>
      <c r="M31" s="1421"/>
      <c r="N31" s="1410"/>
      <c r="O31" s="1410"/>
      <c r="P31" s="1421"/>
      <c r="Q31" s="1423"/>
      <c r="R31" s="1419"/>
      <c r="S31" s="1412"/>
      <c r="T31" s="1383"/>
      <c r="U31" s="1383"/>
      <c r="V31" s="1383"/>
      <c r="W31" s="1383"/>
    </row>
    <row r="32" spans="1:23" ht="15">
      <c r="A32" s="1379"/>
      <c r="B32" s="1380"/>
      <c r="C32" s="1379"/>
      <c r="D32" s="1396"/>
      <c r="E32" s="1396"/>
      <c r="F32" s="1396"/>
      <c r="G32" s="1396"/>
      <c r="H32" s="1396"/>
      <c r="I32" s="1395"/>
      <c r="J32" s="1395"/>
      <c r="K32" s="1395"/>
      <c r="L32" s="1395"/>
      <c r="M32" s="1395"/>
      <c r="N32" s="1395"/>
      <c r="O32" s="1395"/>
      <c r="P32" s="1505" t="s">
        <v>1280</v>
      </c>
      <c r="Q32" s="1505"/>
      <c r="R32" s="1394"/>
      <c r="S32" s="1412"/>
      <c r="T32" s="1383"/>
      <c r="U32" s="1383"/>
      <c r="V32" s="1383"/>
      <c r="W32" s="1383"/>
    </row>
    <row r="33" spans="1:23" ht="15">
      <c r="A33" s="1379"/>
      <c r="B33" s="1397" t="s">
        <v>1281</v>
      </c>
      <c r="C33" s="1398"/>
      <c r="D33" s="1398"/>
      <c r="E33" s="1398"/>
      <c r="F33" s="1398"/>
      <c r="G33" s="1398"/>
      <c r="H33" s="1398"/>
      <c r="I33" s="1398"/>
      <c r="J33" s="1398"/>
      <c r="K33" s="1398"/>
      <c r="L33" s="1398"/>
      <c r="M33" s="1398"/>
      <c r="N33" s="1398"/>
      <c r="O33" s="1398"/>
      <c r="P33" s="1398"/>
      <c r="Q33" s="1398"/>
      <c r="R33" s="1383"/>
      <c r="S33" s="1412"/>
      <c r="T33" s="1383"/>
      <c r="U33" s="1383"/>
      <c r="V33" s="1383"/>
      <c r="W33" s="1383"/>
    </row>
    <row r="34" spans="1:23">
      <c r="A34" s="1380" t="s">
        <v>1323</v>
      </c>
      <c r="B34" s="1434" t="s">
        <v>1283</v>
      </c>
      <c r="C34" s="1380" t="s">
        <v>1284</v>
      </c>
      <c r="D34" s="1400" t="s">
        <v>1285</v>
      </c>
      <c r="E34" s="1400" t="s">
        <v>1286</v>
      </c>
      <c r="F34" s="1401"/>
      <c r="G34" s="1400"/>
      <c r="H34" s="1400"/>
      <c r="I34" s="1402">
        <v>60488323</v>
      </c>
      <c r="J34" s="1403"/>
      <c r="K34" s="1402"/>
      <c r="L34" s="1402"/>
      <c r="M34" s="1402">
        <v>-1965761</v>
      </c>
      <c r="N34" s="1402"/>
      <c r="O34" s="1402"/>
      <c r="P34" s="1443">
        <f>SUM(I34:O34)</f>
        <v>58522562</v>
      </c>
      <c r="Q34" s="1415"/>
      <c r="R34" s="1406" t="s">
        <v>638</v>
      </c>
      <c r="S34" s="1412"/>
      <c r="T34" s="1383"/>
      <c r="U34" s="1383"/>
      <c r="V34" s="1383"/>
      <c r="W34" s="1383"/>
    </row>
    <row r="35" spans="1:23">
      <c r="A35" s="1380" t="s">
        <v>1324</v>
      </c>
      <c r="B35" s="1434" t="s">
        <v>1295</v>
      </c>
      <c r="C35" s="1380" t="s">
        <v>1296</v>
      </c>
      <c r="D35" s="1400" t="s">
        <v>1290</v>
      </c>
      <c r="E35" s="1400" t="s">
        <v>1286</v>
      </c>
      <c r="F35" s="1407">
        <v>-185402169</v>
      </c>
      <c r="G35" s="1408" t="s">
        <v>1297</v>
      </c>
      <c r="H35" s="1408" t="s">
        <v>1298</v>
      </c>
      <c r="I35" s="1415"/>
      <c r="J35" s="1402">
        <v>-169129452</v>
      </c>
      <c r="K35" s="1402"/>
      <c r="L35" s="1402"/>
      <c r="M35" s="1402"/>
      <c r="N35" s="1402">
        <v>2123408</v>
      </c>
      <c r="O35" s="1402">
        <v>741958</v>
      </c>
      <c r="P35" s="1415"/>
      <c r="Q35" s="1443">
        <f>SUM(I35:O35)</f>
        <v>-166264086</v>
      </c>
      <c r="R35" s="1509" t="s">
        <v>1424</v>
      </c>
      <c r="S35" s="1412"/>
      <c r="T35" s="1383"/>
      <c r="U35" s="1383"/>
      <c r="V35" s="1383"/>
      <c r="W35" s="1383"/>
    </row>
    <row r="36" spans="1:23">
      <c r="A36" s="1380" t="s">
        <v>1325</v>
      </c>
      <c r="B36" s="1434" t="s">
        <v>1295</v>
      </c>
      <c r="C36" s="1380" t="s">
        <v>1296</v>
      </c>
      <c r="D36" s="1400" t="s">
        <v>1300</v>
      </c>
      <c r="E36" s="1400" t="s">
        <v>1286</v>
      </c>
      <c r="F36" s="1410">
        <v>-29860604</v>
      </c>
      <c r="G36" s="1408" t="s">
        <v>1301</v>
      </c>
      <c r="H36" s="1408" t="s">
        <v>1302</v>
      </c>
      <c r="I36" s="1415"/>
      <c r="J36" s="1402">
        <v>-70095563</v>
      </c>
      <c r="K36" s="1402"/>
      <c r="L36" s="1402"/>
      <c r="M36" s="1402"/>
      <c r="N36" s="1402">
        <v>8762230</v>
      </c>
      <c r="O36" s="1402">
        <v>12028</v>
      </c>
      <c r="P36" s="1415"/>
      <c r="Q36" s="1443">
        <f>SUM(I36:O36)</f>
        <v>-61321305</v>
      </c>
      <c r="R36" s="1509"/>
      <c r="S36" s="1412"/>
      <c r="T36" s="1383"/>
      <c r="U36" s="1383"/>
      <c r="V36" s="1383"/>
      <c r="W36" s="1383"/>
    </row>
    <row r="37" spans="1:23">
      <c r="A37" s="1380" t="s">
        <v>1326</v>
      </c>
      <c r="B37" s="1434" t="s">
        <v>1304</v>
      </c>
      <c r="C37" s="1380" t="s">
        <v>1305</v>
      </c>
      <c r="D37" s="1400" t="s">
        <v>1290</v>
      </c>
      <c r="E37" s="1400" t="s">
        <v>1286</v>
      </c>
      <c r="F37" s="1410"/>
      <c r="G37" s="1408"/>
      <c r="H37" s="1408"/>
      <c r="I37" s="1402">
        <v>169129452</v>
      </c>
      <c r="J37" s="1415"/>
      <c r="K37" s="1402"/>
      <c r="L37" s="1402"/>
      <c r="M37" s="1402">
        <v>-2865366</v>
      </c>
      <c r="N37" s="1402"/>
      <c r="O37" s="1402"/>
      <c r="P37" s="1443">
        <f>SUM(I37:O37)</f>
        <v>166264086</v>
      </c>
      <c r="Q37" s="1415"/>
      <c r="R37" s="1511" t="s">
        <v>638</v>
      </c>
      <c r="S37" s="1412"/>
      <c r="T37" s="1383"/>
      <c r="U37" s="1383"/>
      <c r="V37" s="1383"/>
      <c r="W37" s="1383"/>
    </row>
    <row r="38" spans="1:23">
      <c r="A38" s="1380" t="s">
        <v>1327</v>
      </c>
      <c r="B38" s="1434" t="s">
        <v>1304</v>
      </c>
      <c r="C38" s="1380" t="s">
        <v>1305</v>
      </c>
      <c r="D38" s="1400" t="s">
        <v>1300</v>
      </c>
      <c r="E38" s="1400" t="s">
        <v>1286</v>
      </c>
      <c r="F38" s="1410"/>
      <c r="G38" s="1408"/>
      <c r="H38" s="1408"/>
      <c r="I38" s="1402">
        <v>70095564</v>
      </c>
      <c r="J38" s="1415"/>
      <c r="K38" s="1402"/>
      <c r="L38" s="1402"/>
      <c r="M38" s="1402">
        <v>-8774257</v>
      </c>
      <c r="N38" s="1402"/>
      <c r="O38" s="1402"/>
      <c r="P38" s="1443">
        <f>SUM(I38:O38)</f>
        <v>61321307</v>
      </c>
      <c r="Q38" s="1415"/>
      <c r="R38" s="1511"/>
      <c r="S38" s="1412"/>
      <c r="T38" s="1383"/>
      <c r="U38" s="1383"/>
      <c r="V38" s="1383"/>
      <c r="W38" s="1383"/>
    </row>
    <row r="39" spans="1:23">
      <c r="A39" s="1380" t="s">
        <v>1328</v>
      </c>
      <c r="B39" s="1434" t="s">
        <v>1308</v>
      </c>
      <c r="C39" s="1380" t="s">
        <v>1309</v>
      </c>
      <c r="D39" s="1400" t="s">
        <v>1300</v>
      </c>
      <c r="E39" s="1400" t="s">
        <v>1286</v>
      </c>
      <c r="F39" s="1410">
        <v>18056743</v>
      </c>
      <c r="G39" s="1408" t="s">
        <v>1301</v>
      </c>
      <c r="H39" s="1408" t="s">
        <v>1302</v>
      </c>
      <c r="I39" s="1415" t="s">
        <v>114</v>
      </c>
      <c r="J39" s="1402">
        <v>47229442</v>
      </c>
      <c r="K39" s="1402"/>
      <c r="L39" s="1402"/>
      <c r="M39" s="1402"/>
      <c r="N39" s="1402">
        <v>-5797930</v>
      </c>
      <c r="O39" s="1402">
        <v>-12028</v>
      </c>
      <c r="P39" s="1409" t="s">
        <v>114</v>
      </c>
      <c r="Q39" s="1443">
        <f>SUM(I39:O39)</f>
        <v>41419484</v>
      </c>
      <c r="R39" s="1406" t="s">
        <v>1425</v>
      </c>
      <c r="S39" s="1412"/>
      <c r="T39" s="1383"/>
      <c r="U39" s="1383"/>
      <c r="V39" s="1383"/>
      <c r="W39" s="1383"/>
    </row>
    <row r="40" spans="1:23">
      <c r="A40" s="1380" t="s">
        <v>1329</v>
      </c>
      <c r="B40" s="1435" t="s">
        <v>1311</v>
      </c>
      <c r="C40" s="1380" t="s">
        <v>1312</v>
      </c>
      <c r="D40" s="1400" t="s">
        <v>1300</v>
      </c>
      <c r="E40" s="1400" t="s">
        <v>1286</v>
      </c>
      <c r="F40" s="1407"/>
      <c r="G40" s="1408"/>
      <c r="H40" s="1408"/>
      <c r="I40" s="1402">
        <v>-45198733</v>
      </c>
      <c r="J40" s="1403"/>
      <c r="K40" s="1402"/>
      <c r="L40" s="1402">
        <v>-2030710</v>
      </c>
      <c r="M40" s="1402">
        <v>5809958</v>
      </c>
      <c r="N40" s="1402"/>
      <c r="O40" s="1402"/>
      <c r="P40" s="1443">
        <f>SUM(I40:O40)</f>
        <v>-41419485</v>
      </c>
      <c r="Q40" s="1409"/>
      <c r="R40" s="1436" t="s">
        <v>638</v>
      </c>
      <c r="S40" s="1412"/>
      <c r="T40" s="1383"/>
      <c r="U40" s="1383"/>
      <c r="V40" s="1383"/>
      <c r="W40" s="1383"/>
    </row>
    <row r="41" spans="1:23" ht="15">
      <c r="A41" s="1380" t="s">
        <v>1330</v>
      </c>
      <c r="B41" s="1387" t="s">
        <v>1343</v>
      </c>
      <c r="C41" s="1379"/>
      <c r="D41" s="1400"/>
      <c r="E41" s="1400"/>
      <c r="F41" s="1407"/>
      <c r="G41" s="1408"/>
      <c r="H41" s="1408"/>
      <c r="I41" s="1402"/>
      <c r="J41" s="1402"/>
      <c r="K41" s="1402"/>
      <c r="L41" s="1402"/>
      <c r="M41" s="1402"/>
      <c r="N41" s="1402"/>
      <c r="O41" s="1402"/>
      <c r="P41" s="1405"/>
      <c r="Q41" s="1404"/>
      <c r="R41" s="1436"/>
      <c r="S41" s="1383"/>
      <c r="T41" s="1383"/>
      <c r="U41" s="1383"/>
      <c r="V41" s="1383"/>
      <c r="W41" s="1383"/>
    </row>
    <row r="42" spans="1:23" ht="15">
      <c r="A42" s="1379"/>
      <c r="B42" s="1437"/>
      <c r="C42" s="1437"/>
      <c r="D42" s="1437"/>
      <c r="E42" s="1437"/>
      <c r="F42" s="1437"/>
      <c r="G42" s="1437"/>
      <c r="H42" s="1437"/>
      <c r="I42" s="1437"/>
      <c r="J42" s="1437"/>
      <c r="K42" s="1437"/>
      <c r="L42" s="1437"/>
      <c r="M42" s="1437"/>
      <c r="N42" s="1379"/>
      <c r="O42" s="1379"/>
      <c r="P42" s="1379"/>
      <c r="Q42" s="1379"/>
      <c r="R42" s="1379"/>
      <c r="S42" s="1383"/>
      <c r="T42" s="1383"/>
      <c r="U42" s="1383"/>
      <c r="V42" s="1383"/>
      <c r="W42" s="1383"/>
    </row>
    <row r="43" spans="1:23" ht="15">
      <c r="A43" s="1379"/>
      <c r="B43" s="1397" t="s">
        <v>1314</v>
      </c>
      <c r="C43" s="1383"/>
      <c r="D43" s="1383"/>
      <c r="E43" s="1383"/>
      <c r="F43" s="1383"/>
      <c r="G43" s="1383"/>
      <c r="H43" s="1383"/>
      <c r="I43" s="1383"/>
      <c r="J43" s="1383"/>
      <c r="K43" s="1383"/>
      <c r="L43" s="1383"/>
      <c r="M43" s="1383"/>
      <c r="N43" s="1383"/>
      <c r="O43" s="1383"/>
      <c r="P43" s="1383"/>
      <c r="Q43" s="1412"/>
      <c r="R43" s="1413"/>
      <c r="S43" s="1383"/>
      <c r="T43" s="1383"/>
      <c r="U43" s="1383"/>
      <c r="V43" s="1383"/>
      <c r="W43" s="1383"/>
    </row>
    <row r="44" spans="1:23">
      <c r="A44" s="1380" t="s">
        <v>623</v>
      </c>
      <c r="B44" s="1399">
        <v>182.3</v>
      </c>
      <c r="C44" s="1414" t="s">
        <v>1316</v>
      </c>
      <c r="D44" s="1415" t="s">
        <v>114</v>
      </c>
      <c r="E44" s="1400" t="s">
        <v>1286</v>
      </c>
      <c r="F44" s="1415"/>
      <c r="G44" s="1415" t="s">
        <v>114</v>
      </c>
      <c r="H44" s="1415"/>
      <c r="I44" s="1416">
        <v>-2030710</v>
      </c>
      <c r="J44" s="1415"/>
      <c r="K44" s="1402"/>
      <c r="L44" s="1402">
        <v>2030710</v>
      </c>
      <c r="M44" s="1402"/>
      <c r="N44" s="1415"/>
      <c r="O44" s="1415"/>
      <c r="P44" s="1405">
        <f>SUM(I44:O44)</f>
        <v>0</v>
      </c>
      <c r="Q44" s="1411"/>
      <c r="R44" s="1406" t="s">
        <v>1317</v>
      </c>
      <c r="S44" s="1383"/>
      <c r="T44" s="1383"/>
      <c r="U44" s="1383"/>
      <c r="V44" s="1383"/>
      <c r="W44" s="1383"/>
    </row>
    <row r="45" spans="1:23">
      <c r="A45" s="1380" t="s">
        <v>624</v>
      </c>
      <c r="B45" s="1399">
        <v>254</v>
      </c>
      <c r="C45" s="1414" t="s">
        <v>1319</v>
      </c>
      <c r="D45" s="1415" t="s">
        <v>114</v>
      </c>
      <c r="E45" s="1400" t="s">
        <v>1286</v>
      </c>
      <c r="F45" s="1415"/>
      <c r="G45" s="1415" t="s">
        <v>114</v>
      </c>
      <c r="H45" s="1415"/>
      <c r="I45" s="1416">
        <v>-252483896</v>
      </c>
      <c r="J45" s="1415"/>
      <c r="K45" s="1402"/>
      <c r="L45" s="1402"/>
      <c r="M45" s="1402">
        <f>1965761+2865366+8774257-5809958</f>
        <v>7795426</v>
      </c>
      <c r="N45" s="1415"/>
      <c r="O45" s="1415" t="s">
        <v>114</v>
      </c>
      <c r="P45" s="1405">
        <f>SUM(I45:O45)</f>
        <v>-244688470</v>
      </c>
      <c r="Q45" s="1411"/>
      <c r="R45" s="1406" t="s">
        <v>1317</v>
      </c>
      <c r="S45" s="1383"/>
      <c r="T45" s="1383"/>
      <c r="U45" s="1383"/>
      <c r="V45" s="1383"/>
      <c r="W45" s="1383"/>
    </row>
    <row r="46" spans="1:23">
      <c r="A46" s="1380" t="s">
        <v>1331</v>
      </c>
      <c r="B46" s="1387" t="s">
        <v>1343</v>
      </c>
      <c r="C46" s="1414"/>
      <c r="D46" s="1415"/>
      <c r="E46" s="1400"/>
      <c r="F46" s="1415"/>
      <c r="G46" s="1415"/>
      <c r="H46" s="1415"/>
      <c r="I46" s="1402"/>
      <c r="J46" s="1415"/>
      <c r="K46" s="1402"/>
      <c r="L46" s="1402"/>
      <c r="M46" s="1402"/>
      <c r="N46" s="1415"/>
      <c r="O46" s="1415"/>
      <c r="P46" s="1411"/>
      <c r="Q46" s="1411"/>
      <c r="R46" s="1406"/>
      <c r="S46" s="1383"/>
      <c r="T46" s="1383"/>
      <c r="U46" s="1383"/>
      <c r="V46" s="1383"/>
      <c r="W46" s="1383"/>
    </row>
    <row r="47" spans="1:23" ht="15">
      <c r="A47" s="1379"/>
      <c r="B47" s="1399"/>
      <c r="C47" s="1414"/>
      <c r="D47" s="1386"/>
      <c r="E47" s="1386"/>
      <c r="F47" s="1386"/>
      <c r="G47" s="1386"/>
      <c r="H47" s="1386"/>
      <c r="I47" s="1386"/>
      <c r="J47" s="1386"/>
      <c r="K47" s="1386"/>
      <c r="L47" s="1386"/>
      <c r="M47" s="1386"/>
      <c r="N47" s="1448"/>
      <c r="O47" s="1386"/>
      <c r="P47" s="1386"/>
      <c r="Q47" s="1386"/>
      <c r="R47" s="1417"/>
      <c r="S47" s="1383"/>
      <c r="T47" s="1383"/>
      <c r="U47" s="1383"/>
      <c r="V47" s="1383"/>
      <c r="W47" s="1383"/>
    </row>
    <row r="48" spans="1:23" ht="12.75" thickBot="1">
      <c r="A48" s="1430">
        <v>6</v>
      </c>
      <c r="B48" s="1510" t="s">
        <v>1346</v>
      </c>
      <c r="C48" s="1510"/>
      <c r="D48" s="1415"/>
      <c r="E48" s="1415"/>
      <c r="F48" s="1415"/>
      <c r="G48" s="1415"/>
      <c r="H48" s="1415"/>
      <c r="I48" s="1418">
        <f>SUM(I34:I46)</f>
        <v>0</v>
      </c>
      <c r="J48" s="1449">
        <f>SUM(J34:J46)</f>
        <v>-191995573</v>
      </c>
      <c r="K48" s="1449">
        <f t="shared" ref="K48:Q48" si="1">SUM(K34:K46)</f>
        <v>0</v>
      </c>
      <c r="L48" s="1449">
        <f t="shared" si="1"/>
        <v>0</v>
      </c>
      <c r="M48" s="1449">
        <f t="shared" si="1"/>
        <v>0</v>
      </c>
      <c r="N48" s="1449">
        <f>-SUM(N34:N46)</f>
        <v>-5087708</v>
      </c>
      <c r="O48" s="1449">
        <f>-SUM(O34:O46)</f>
        <v>-741958</v>
      </c>
      <c r="P48" s="1449">
        <f t="shared" si="1"/>
        <v>0</v>
      </c>
      <c r="Q48" s="1449">
        <f t="shared" si="1"/>
        <v>-186165907</v>
      </c>
      <c r="R48" s="1419"/>
      <c r="S48" s="1383"/>
      <c r="T48" s="1383"/>
      <c r="U48" s="1383"/>
      <c r="V48" s="1383"/>
      <c r="W48" s="1383"/>
    </row>
    <row r="49" spans="1:23" ht="15.75" thickTop="1">
      <c r="A49" s="1379"/>
      <c r="B49" s="1399"/>
      <c r="C49" s="1414"/>
      <c r="D49" s="1386"/>
      <c r="E49" s="1386"/>
      <c r="F49" s="1386"/>
      <c r="G49" s="1386"/>
      <c r="H49" s="1386"/>
      <c r="I49" s="1420"/>
      <c r="J49" s="1410"/>
      <c r="K49" s="1421"/>
      <c r="L49" s="1421"/>
      <c r="M49" s="1421"/>
      <c r="N49" s="1422" t="s">
        <v>1345</v>
      </c>
      <c r="O49" s="1410"/>
      <c r="P49" s="1421"/>
      <c r="Q49" s="1423"/>
      <c r="R49" s="1419"/>
      <c r="S49" s="1383"/>
      <c r="T49" s="1383"/>
      <c r="U49" s="1383"/>
      <c r="V49" s="1383"/>
      <c r="W49" s="1383"/>
    </row>
    <row r="50" spans="1:23" ht="15">
      <c r="A50" s="1379"/>
      <c r="B50" s="1399"/>
      <c r="C50" s="1414"/>
      <c r="D50" s="1386"/>
      <c r="E50" s="1386"/>
      <c r="F50" s="1386"/>
      <c r="G50" s="1386"/>
      <c r="H50" s="1386"/>
      <c r="I50" s="1420"/>
      <c r="J50" s="1410"/>
      <c r="K50" s="1421"/>
      <c r="L50" s="1421"/>
      <c r="M50" s="1421"/>
      <c r="N50" s="1410"/>
      <c r="O50" s="1410"/>
      <c r="P50" s="1421"/>
      <c r="Q50" s="1423"/>
      <c r="R50" s="1419"/>
      <c r="S50" s="1383"/>
      <c r="T50" s="1383"/>
      <c r="U50" s="1383"/>
      <c r="V50" s="1383"/>
      <c r="W50" s="1383"/>
    </row>
    <row r="51" spans="1:23">
      <c r="A51" s="1512" t="s">
        <v>1347</v>
      </c>
      <c r="B51" s="1512"/>
      <c r="C51" s="1512"/>
      <c r="D51" s="1512"/>
      <c r="E51" s="1512"/>
      <c r="F51" s="1512"/>
      <c r="G51" s="1512"/>
      <c r="H51" s="1512"/>
      <c r="I51" s="1512"/>
      <c r="J51" s="1512"/>
      <c r="K51" s="1421"/>
      <c r="L51" s="1421"/>
      <c r="M51" s="1421"/>
      <c r="N51" s="1410"/>
      <c r="O51" s="1410"/>
      <c r="P51" s="1421"/>
      <c r="Q51" s="1423"/>
      <c r="R51" s="1419"/>
      <c r="S51" s="1383"/>
      <c r="T51" s="1383"/>
      <c r="U51" s="1383"/>
      <c r="V51" s="1383"/>
      <c r="W51" s="1383"/>
    </row>
    <row r="52" spans="1:23" ht="18.600000000000001" customHeight="1">
      <c r="A52" s="1512"/>
      <c r="B52" s="1512"/>
      <c r="C52" s="1512"/>
      <c r="D52" s="1512"/>
      <c r="E52" s="1512"/>
      <c r="F52" s="1512"/>
      <c r="G52" s="1512"/>
      <c r="H52" s="1512"/>
      <c r="I52" s="1512"/>
      <c r="J52" s="1512"/>
      <c r="K52" s="1421"/>
      <c r="L52" s="1421"/>
      <c r="M52" s="1421"/>
      <c r="N52" s="1410"/>
      <c r="O52" s="1410"/>
      <c r="P52" s="1421"/>
      <c r="Q52" s="1423"/>
      <c r="R52" s="1419"/>
      <c r="S52" s="1383"/>
      <c r="T52" s="1383"/>
      <c r="U52" s="1383"/>
      <c r="V52" s="1383"/>
      <c r="W52" s="1383"/>
    </row>
    <row r="53" spans="1:23" ht="23.1" customHeight="1">
      <c r="A53" s="1379"/>
      <c r="B53" s="1399"/>
      <c r="C53" s="1414"/>
      <c r="D53" s="1386"/>
      <c r="E53" s="1386"/>
      <c r="F53" s="1386"/>
      <c r="G53" s="1386"/>
      <c r="H53" s="1386"/>
      <c r="I53" s="1420"/>
      <c r="J53" s="1410"/>
      <c r="K53" s="1421"/>
      <c r="L53" s="1421"/>
      <c r="M53" s="1421"/>
      <c r="N53" s="1410"/>
      <c r="O53" s="1410"/>
      <c r="P53" s="1421"/>
      <c r="Q53" s="1423"/>
      <c r="R53" s="1419"/>
      <c r="S53" s="1383"/>
      <c r="T53" s="1383"/>
      <c r="U53" s="1383"/>
      <c r="V53" s="1383"/>
      <c r="W53" s="1383"/>
    </row>
    <row r="54" spans="1:23" ht="15" customHeight="1">
      <c r="A54" s="1379"/>
      <c r="B54" s="1380"/>
      <c r="C54" s="1414"/>
      <c r="D54" s="1386"/>
      <c r="E54" s="1386"/>
      <c r="F54" s="1386"/>
      <c r="G54" s="1386"/>
      <c r="H54" s="1386"/>
      <c r="I54" s="1420"/>
      <c r="J54" s="1423"/>
      <c r="K54" s="1421"/>
      <c r="L54" s="1421"/>
      <c r="M54" s="1421"/>
      <c r="N54" s="1423"/>
      <c r="O54" s="1423"/>
      <c r="P54" s="1421"/>
      <c r="Q54" s="1423"/>
      <c r="R54" s="1419"/>
      <c r="S54" s="1383"/>
      <c r="T54" s="1383"/>
      <c r="U54" s="1383"/>
      <c r="V54" s="1383"/>
      <c r="W54" s="1383"/>
    </row>
    <row r="55" spans="1:23" ht="15">
      <c r="A55" s="1424" t="s">
        <v>1332</v>
      </c>
      <c r="B55" s="1508" t="s">
        <v>1348</v>
      </c>
      <c r="C55" s="1508"/>
      <c r="D55" s="1508"/>
      <c r="E55" s="1508"/>
      <c r="F55" s="1508"/>
      <c r="G55" s="1508"/>
      <c r="H55" s="1508"/>
      <c r="I55" s="1508"/>
      <c r="J55" s="1508"/>
      <c r="K55" s="1425"/>
      <c r="L55" s="1426"/>
      <c r="M55" s="1379"/>
      <c r="N55" s="1379"/>
      <c r="O55" s="1427"/>
      <c r="P55" s="1427"/>
      <c r="Q55" s="1427"/>
      <c r="R55" s="1383"/>
      <c r="S55" s="1379"/>
      <c r="T55" s="1379"/>
      <c r="U55" s="1379"/>
      <c r="V55" s="1379"/>
      <c r="W55" s="1379"/>
    </row>
    <row r="56" spans="1:23" ht="15" customHeight="1">
      <c r="A56" s="1379"/>
      <c r="B56" s="1508"/>
      <c r="C56" s="1508"/>
      <c r="D56" s="1508"/>
      <c r="E56" s="1508"/>
      <c r="F56" s="1508"/>
      <c r="G56" s="1508"/>
      <c r="H56" s="1508"/>
      <c r="I56" s="1508"/>
      <c r="J56" s="1508"/>
      <c r="K56" s="1425"/>
      <c r="L56" s="1426"/>
      <c r="M56" s="1379"/>
      <c r="N56" s="1379"/>
      <c r="O56" s="1427"/>
      <c r="P56" s="1379"/>
      <c r="Q56" s="1379"/>
      <c r="R56" s="1383"/>
      <c r="S56" s="1379"/>
      <c r="T56" s="1379"/>
      <c r="U56" s="1379"/>
      <c r="V56" s="1379"/>
      <c r="W56" s="1379"/>
    </row>
    <row r="57" spans="1:23" ht="15">
      <c r="A57" s="1379"/>
      <c r="B57" s="1508"/>
      <c r="C57" s="1508"/>
      <c r="D57" s="1508"/>
      <c r="E57" s="1508"/>
      <c r="F57" s="1508"/>
      <c r="G57" s="1508"/>
      <c r="H57" s="1508"/>
      <c r="I57" s="1508"/>
      <c r="J57" s="1508"/>
      <c r="K57" s="1425"/>
      <c r="L57" s="1426"/>
      <c r="M57" s="1379"/>
      <c r="N57" s="1379"/>
      <c r="O57" s="1379"/>
      <c r="P57" s="1379"/>
      <c r="Q57" s="1379"/>
      <c r="R57" s="1383"/>
      <c r="S57" s="1379"/>
      <c r="T57" s="1379"/>
      <c r="U57" s="1379"/>
      <c r="V57" s="1379"/>
      <c r="W57" s="1379"/>
    </row>
    <row r="58" spans="1:23" ht="15">
      <c r="A58" s="1379"/>
      <c r="B58" s="1508"/>
      <c r="C58" s="1508"/>
      <c r="D58" s="1508"/>
      <c r="E58" s="1508"/>
      <c r="F58" s="1508"/>
      <c r="G58" s="1508"/>
      <c r="H58" s="1508"/>
      <c r="I58" s="1508"/>
      <c r="J58" s="1508"/>
      <c r="K58" s="1425"/>
      <c r="L58" s="1426"/>
      <c r="M58" s="1379"/>
      <c r="N58" s="1379"/>
      <c r="O58" s="1379"/>
      <c r="P58" s="1427"/>
      <c r="Q58" s="1427"/>
      <c r="R58" s="1383"/>
      <c r="S58" s="1379"/>
      <c r="T58" s="1379"/>
      <c r="U58" s="1379"/>
      <c r="V58" s="1379"/>
      <c r="W58" s="1379"/>
    </row>
    <row r="59" spans="1:23" ht="15">
      <c r="A59" s="1379"/>
      <c r="B59" s="1508"/>
      <c r="C59" s="1508"/>
      <c r="D59" s="1508"/>
      <c r="E59" s="1508"/>
      <c r="F59" s="1508"/>
      <c r="G59" s="1508"/>
      <c r="H59" s="1508"/>
      <c r="I59" s="1508"/>
      <c r="J59" s="1508"/>
      <c r="K59" s="1425"/>
      <c r="L59" s="1379"/>
      <c r="M59" s="1379"/>
      <c r="N59" s="1379"/>
      <c r="O59" s="1379"/>
      <c r="P59" s="1379"/>
      <c r="Q59" s="1379"/>
      <c r="R59" s="1383"/>
      <c r="S59" s="1379"/>
      <c r="T59" s="1379"/>
      <c r="U59" s="1379"/>
      <c r="V59" s="1379"/>
      <c r="W59" s="1379"/>
    </row>
    <row r="60" spans="1:23" ht="15">
      <c r="A60" s="1379"/>
      <c r="B60" s="1508"/>
      <c r="C60" s="1508"/>
      <c r="D60" s="1508"/>
      <c r="E60" s="1508"/>
      <c r="F60" s="1508"/>
      <c r="G60" s="1508"/>
      <c r="H60" s="1508"/>
      <c r="I60" s="1508"/>
      <c r="J60" s="1508"/>
      <c r="K60" s="1425"/>
      <c r="L60" s="1379"/>
      <c r="M60" s="1379"/>
      <c r="N60" s="1379"/>
      <c r="O60" s="1379"/>
      <c r="P60" s="1379"/>
      <c r="Q60" s="1379"/>
      <c r="R60" s="1383"/>
      <c r="S60" s="1379"/>
      <c r="T60" s="1379"/>
      <c r="U60" s="1379"/>
      <c r="V60" s="1379"/>
      <c r="W60" s="1379"/>
    </row>
    <row r="61" spans="1:23" ht="15">
      <c r="A61" s="1379"/>
      <c r="B61" s="1425"/>
      <c r="C61" s="1425"/>
      <c r="D61" s="1425"/>
      <c r="E61" s="1425"/>
      <c r="F61" s="1425"/>
      <c r="G61" s="1425"/>
      <c r="H61" s="1425"/>
      <c r="I61" s="1425"/>
      <c r="J61" s="1425"/>
      <c r="K61" s="1425"/>
      <c r="L61" s="1379"/>
      <c r="M61" s="1379"/>
      <c r="N61" s="1379"/>
      <c r="O61" s="1379"/>
      <c r="P61" s="1379"/>
      <c r="Q61" s="1379"/>
      <c r="R61" s="1383"/>
      <c r="S61" s="1379"/>
      <c r="T61" s="1379"/>
      <c r="U61" s="1379"/>
      <c r="V61" s="1379"/>
      <c r="W61" s="1379"/>
    </row>
    <row r="62" spans="1:23" ht="15">
      <c r="A62" s="1380" t="s">
        <v>1333</v>
      </c>
      <c r="B62" s="1428" t="s">
        <v>1334</v>
      </c>
      <c r="C62" s="1428"/>
      <c r="D62" s="1428"/>
      <c r="E62" s="1428"/>
      <c r="F62" s="1428"/>
      <c r="G62" s="1428"/>
      <c r="H62" s="1428"/>
      <c r="I62" s="1428"/>
      <c r="J62" s="1428"/>
      <c r="K62" s="1425"/>
      <c r="L62" s="1379"/>
      <c r="M62" s="1379"/>
      <c r="N62" s="1379"/>
      <c r="O62" s="1379"/>
      <c r="P62" s="1379"/>
      <c r="Q62" s="1379"/>
      <c r="R62" s="1383"/>
      <c r="S62" s="1379"/>
      <c r="T62" s="1379"/>
      <c r="U62" s="1379"/>
      <c r="V62" s="1379"/>
      <c r="W62" s="1379"/>
    </row>
    <row r="63" spans="1:23" ht="12.6" customHeight="1">
      <c r="A63" s="1379"/>
      <c r="B63" s="1428"/>
      <c r="C63" s="1428"/>
      <c r="D63" s="1428"/>
      <c r="E63" s="1428"/>
      <c r="F63" s="1428"/>
      <c r="G63" s="1428"/>
      <c r="H63" s="1428"/>
      <c r="I63" s="1428"/>
      <c r="J63" s="1428"/>
      <c r="K63" s="1425"/>
      <c r="L63" s="1379"/>
      <c r="M63" s="1379"/>
      <c r="N63" s="1379"/>
      <c r="O63" s="1379"/>
      <c r="P63" s="1379"/>
      <c r="Q63" s="1379"/>
      <c r="R63" s="1383"/>
      <c r="S63" s="1379"/>
      <c r="T63" s="1379"/>
      <c r="U63" s="1379"/>
      <c r="V63" s="1379"/>
      <c r="W63" s="1379"/>
    </row>
    <row r="64" spans="1:23" ht="15">
      <c r="A64" s="1380" t="s">
        <v>1335</v>
      </c>
      <c r="B64" s="1428" t="s">
        <v>1349</v>
      </c>
      <c r="C64" s="1428"/>
      <c r="D64" s="1428"/>
      <c r="E64" s="1428"/>
      <c r="F64" s="1428"/>
      <c r="G64" s="1428"/>
      <c r="H64" s="1428"/>
      <c r="I64" s="1428"/>
      <c r="J64" s="1428"/>
      <c r="K64" s="1425"/>
      <c r="L64" s="1379"/>
      <c r="M64" s="1379"/>
      <c r="N64" s="1379"/>
      <c r="O64" s="1379"/>
      <c r="P64" s="1379"/>
      <c r="Q64" s="1379"/>
      <c r="R64" s="1383"/>
      <c r="S64" s="1379"/>
      <c r="T64" s="1379"/>
      <c r="U64" s="1379"/>
      <c r="V64" s="1379"/>
      <c r="W64" s="1379"/>
    </row>
    <row r="65" spans="1:18" s="1373" customFormat="1" ht="12.6" customHeight="1">
      <c r="A65" s="1379"/>
      <c r="B65" s="1425"/>
      <c r="C65" s="1425"/>
      <c r="D65" s="1425"/>
      <c r="E65" s="1425"/>
      <c r="F65" s="1425"/>
      <c r="G65" s="1425"/>
      <c r="H65" s="1425"/>
      <c r="I65" s="1425"/>
      <c r="J65" s="1425"/>
      <c r="K65" s="1425"/>
      <c r="L65" s="1379"/>
      <c r="M65" s="1379"/>
      <c r="N65" s="1379"/>
      <c r="O65" s="1379"/>
      <c r="P65" s="1379"/>
      <c r="Q65" s="1379"/>
      <c r="R65" s="1383"/>
    </row>
    <row r="66" spans="1:18" s="1373" customFormat="1">
      <c r="A66" s="1380" t="s">
        <v>1337</v>
      </c>
      <c r="B66" s="1506" t="s">
        <v>1336</v>
      </c>
      <c r="C66" s="1506"/>
      <c r="D66" s="1506"/>
      <c r="E66" s="1506"/>
      <c r="F66" s="1506"/>
      <c r="G66" s="1506"/>
      <c r="H66" s="1506"/>
      <c r="I66" s="1506"/>
      <c r="J66" s="1506"/>
      <c r="K66" s="1438"/>
      <c r="L66" s="1431"/>
      <c r="M66" s="1431"/>
      <c r="N66" s="1431"/>
      <c r="O66" s="1431"/>
      <c r="P66" s="1431"/>
      <c r="Q66" s="1431"/>
      <c r="R66" s="1412"/>
    </row>
    <row r="67" spans="1:18">
      <c r="A67" s="1380"/>
      <c r="B67" s="1506"/>
      <c r="C67" s="1506"/>
      <c r="D67" s="1506"/>
      <c r="E67" s="1506"/>
      <c r="F67" s="1506"/>
      <c r="G67" s="1506"/>
      <c r="H67" s="1506"/>
      <c r="I67" s="1506"/>
      <c r="J67" s="1506"/>
      <c r="K67" s="1438"/>
      <c r="L67" s="1431"/>
      <c r="M67" s="1431"/>
      <c r="N67" s="1431"/>
      <c r="O67" s="1431"/>
      <c r="P67" s="1431"/>
      <c r="Q67" s="1431"/>
      <c r="R67" s="1412"/>
    </row>
    <row r="68" spans="1:18" ht="15">
      <c r="A68" s="1379"/>
      <c r="B68" s="1425"/>
      <c r="C68" s="1425"/>
      <c r="D68" s="1425"/>
      <c r="E68" s="1425"/>
      <c r="F68" s="1425"/>
      <c r="G68" s="1425"/>
      <c r="H68" s="1425"/>
      <c r="I68" s="1425"/>
      <c r="J68" s="1425"/>
      <c r="K68" s="1425"/>
      <c r="L68" s="1379"/>
      <c r="M68" s="1379"/>
      <c r="N68" s="1379"/>
      <c r="O68" s="1379"/>
      <c r="P68" s="1379"/>
      <c r="Q68" s="1379"/>
      <c r="R68" s="1383"/>
    </row>
    <row r="69" spans="1:18" ht="15">
      <c r="A69" s="1430" t="s">
        <v>1339</v>
      </c>
      <c r="B69" s="1507" t="s">
        <v>1338</v>
      </c>
      <c r="C69" s="1507"/>
      <c r="D69" s="1507"/>
      <c r="E69" s="1507"/>
      <c r="F69" s="1507"/>
      <c r="G69" s="1507"/>
      <c r="H69" s="1507"/>
      <c r="I69" s="1507"/>
      <c r="J69" s="1507"/>
      <c r="K69" s="1425"/>
      <c r="L69" s="1379"/>
      <c r="M69" s="1379"/>
      <c r="N69" s="1379"/>
      <c r="O69" s="1379"/>
      <c r="P69" s="1379"/>
      <c r="Q69" s="1379"/>
      <c r="R69" s="1383"/>
    </row>
    <row r="70" spans="1:18" ht="4.5" customHeight="1">
      <c r="A70" s="1379"/>
      <c r="B70" s="1507"/>
      <c r="C70" s="1507"/>
      <c r="D70" s="1507"/>
      <c r="E70" s="1507"/>
      <c r="F70" s="1507"/>
      <c r="G70" s="1507"/>
      <c r="H70" s="1507"/>
      <c r="I70" s="1507"/>
      <c r="J70" s="1507"/>
      <c r="K70" s="1425"/>
      <c r="L70" s="1379"/>
      <c r="M70" s="1379"/>
      <c r="N70" s="1379"/>
      <c r="O70" s="1379"/>
      <c r="P70" s="1379"/>
      <c r="Q70" s="1379"/>
      <c r="R70" s="1383"/>
    </row>
    <row r="71" spans="1:18" ht="11.45" customHeight="1">
      <c r="A71" s="1379"/>
      <c r="B71" s="1429"/>
      <c r="C71" s="1425"/>
      <c r="D71" s="1425"/>
      <c r="E71" s="1425"/>
      <c r="F71" s="1425"/>
      <c r="G71" s="1425"/>
      <c r="H71" s="1425"/>
      <c r="I71" s="1425"/>
      <c r="J71" s="1425"/>
      <c r="K71" s="1425"/>
      <c r="L71" s="1379"/>
      <c r="M71" s="1379"/>
      <c r="N71" s="1379"/>
      <c r="O71" s="1379"/>
      <c r="P71" s="1379"/>
      <c r="Q71" s="1379"/>
      <c r="R71" s="1383"/>
    </row>
    <row r="72" spans="1:18" ht="11.45" customHeight="1">
      <c r="A72" s="1430" t="s">
        <v>1350</v>
      </c>
      <c r="B72" s="1508" t="s">
        <v>1351</v>
      </c>
      <c r="C72" s="1508"/>
      <c r="D72" s="1508"/>
      <c r="E72" s="1508"/>
      <c r="F72" s="1508"/>
      <c r="G72" s="1508"/>
      <c r="H72" s="1508"/>
      <c r="I72" s="1508"/>
      <c r="J72" s="1425"/>
      <c r="K72" s="1426"/>
      <c r="L72" s="1379"/>
      <c r="M72" s="1379"/>
      <c r="N72" s="1379"/>
      <c r="O72" s="1379"/>
      <c r="P72" s="1379"/>
      <c r="Q72" s="1379"/>
      <c r="R72" s="1383"/>
    </row>
    <row r="73" spans="1:18" ht="15">
      <c r="A73" s="1379"/>
      <c r="B73" s="1508"/>
      <c r="C73" s="1508"/>
      <c r="D73" s="1508"/>
      <c r="E73" s="1508"/>
      <c r="F73" s="1508"/>
      <c r="G73" s="1508"/>
      <c r="H73" s="1508"/>
      <c r="I73" s="1508"/>
      <c r="J73" s="1425"/>
      <c r="K73" s="1379"/>
      <c r="L73" s="1379"/>
      <c r="M73" s="1379"/>
      <c r="N73" s="1379"/>
      <c r="O73" s="1379"/>
      <c r="P73" s="1379"/>
      <c r="Q73" s="1379"/>
      <c r="R73" s="1383"/>
    </row>
    <row r="74" spans="1:18" ht="15">
      <c r="A74" s="1379"/>
      <c r="B74" s="1508"/>
      <c r="C74" s="1508"/>
      <c r="D74" s="1508"/>
      <c r="E74" s="1508"/>
      <c r="F74" s="1508"/>
      <c r="G74" s="1508"/>
      <c r="H74" s="1508"/>
      <c r="I74" s="1508"/>
      <c r="J74" s="1379"/>
      <c r="K74" s="1379"/>
      <c r="L74" s="1379"/>
      <c r="M74" s="1379"/>
      <c r="N74" s="1379"/>
      <c r="O74" s="1379"/>
      <c r="P74" s="1379"/>
      <c r="Q74" s="1379"/>
      <c r="R74" s="1383"/>
    </row>
    <row r="75" spans="1:18" ht="15">
      <c r="A75" s="1379"/>
      <c r="B75" s="1379"/>
      <c r="C75" s="1379"/>
      <c r="D75" s="1379"/>
      <c r="E75" s="1379"/>
      <c r="F75" s="1379"/>
      <c r="G75" s="1379"/>
      <c r="H75" s="1379"/>
      <c r="I75" s="1379"/>
      <c r="J75" s="1379"/>
      <c r="K75" s="1379"/>
      <c r="L75" s="1379"/>
      <c r="M75" s="1379"/>
      <c r="N75" s="1379"/>
      <c r="O75" s="1379"/>
      <c r="P75" s="1379"/>
      <c r="Q75" s="1379"/>
      <c r="R75" s="1383"/>
    </row>
    <row r="76" spans="1:18" ht="15">
      <c r="A76" s="1379"/>
      <c r="B76" s="1379"/>
      <c r="C76" s="1379"/>
      <c r="D76" s="1379"/>
      <c r="E76" s="1379"/>
      <c r="F76" s="1379"/>
      <c r="G76" s="1379"/>
      <c r="H76" s="1379"/>
      <c r="I76" s="1379"/>
      <c r="J76" s="1379"/>
      <c r="K76" s="1379"/>
      <c r="L76" s="1379"/>
      <c r="M76" s="1379"/>
      <c r="N76" s="1379"/>
      <c r="O76" s="1379"/>
      <c r="P76" s="1379"/>
      <c r="Q76" s="1379"/>
      <c r="R76" s="1383"/>
    </row>
    <row r="80" spans="1:18">
      <c r="A80" s="1376"/>
      <c r="B80" s="1376"/>
      <c r="C80" s="1376"/>
      <c r="D80" s="1376"/>
      <c r="E80" s="1376"/>
      <c r="F80" s="1376"/>
      <c r="G80" s="1376"/>
      <c r="H80" s="1376"/>
      <c r="I80" s="1376"/>
      <c r="J80" s="1376"/>
      <c r="K80" s="1376"/>
    </row>
    <row r="81" spans="1:11">
      <c r="A81" s="1424"/>
      <c r="B81" s="1424"/>
      <c r="C81" s="1424"/>
      <c r="D81" s="1424"/>
      <c r="E81" s="1424"/>
      <c r="F81" s="1424"/>
      <c r="G81" s="1424"/>
      <c r="H81" s="1424"/>
      <c r="I81" s="1424"/>
      <c r="J81" s="1424"/>
      <c r="K81" s="1424"/>
    </row>
    <row r="82" spans="1:11">
      <c r="A82" s="1424"/>
      <c r="B82" s="1424"/>
      <c r="C82" s="1424"/>
      <c r="D82" s="1424"/>
      <c r="E82" s="1424"/>
      <c r="F82" s="1424"/>
      <c r="G82" s="1424"/>
      <c r="H82" s="1424"/>
      <c r="I82" s="1424"/>
      <c r="J82" s="1424"/>
      <c r="K82" s="1424"/>
    </row>
    <row r="83" spans="1:11" ht="15">
      <c r="A83" s="1379"/>
      <c r="B83" s="1379"/>
      <c r="C83" s="1379"/>
      <c r="D83" s="1424"/>
      <c r="E83" s="1424"/>
      <c r="F83" s="1424"/>
      <c r="G83" s="1424"/>
      <c r="H83" s="1424"/>
      <c r="I83" s="1424"/>
      <c r="J83" s="1424"/>
      <c r="K83" s="1424"/>
    </row>
    <row r="84" spans="1:11">
      <c r="A84" s="1424"/>
      <c r="B84" s="1424"/>
      <c r="C84" s="1424"/>
      <c r="D84" s="1424"/>
      <c r="E84" s="1424"/>
      <c r="F84" s="1424"/>
      <c r="G84" s="1424"/>
      <c r="H84" s="1424"/>
      <c r="I84" s="1424"/>
      <c r="J84" s="1424"/>
      <c r="K84" s="1424"/>
    </row>
    <row r="85" spans="1:11">
      <c r="A85" s="1424"/>
      <c r="B85" s="1424"/>
      <c r="C85" s="1424"/>
      <c r="D85" s="1424"/>
      <c r="E85" s="1424"/>
      <c r="F85" s="1424"/>
      <c r="G85" s="1424"/>
      <c r="H85" s="1424"/>
      <c r="I85" s="1424"/>
      <c r="J85" s="1424"/>
      <c r="K85" s="1424"/>
    </row>
    <row r="86" spans="1:11">
      <c r="A86" s="1424"/>
      <c r="B86" s="1424"/>
      <c r="C86" s="1424"/>
      <c r="D86" s="1424"/>
      <c r="E86" s="1424"/>
      <c r="F86" s="1424"/>
      <c r="G86" s="1424"/>
      <c r="H86" s="1424"/>
      <c r="I86" s="1424"/>
      <c r="J86" s="1424"/>
      <c r="K86" s="1424"/>
    </row>
    <row r="87" spans="1:11">
      <c r="A87" s="1424"/>
      <c r="B87" s="1424"/>
      <c r="C87" s="1424"/>
      <c r="D87" s="1424"/>
      <c r="E87" s="1424"/>
      <c r="F87" s="1424"/>
      <c r="G87" s="1424"/>
      <c r="H87" s="1424"/>
      <c r="I87" s="1424"/>
      <c r="J87" s="1424"/>
      <c r="K87" s="1424"/>
    </row>
    <row r="88" spans="1:11">
      <c r="A88" s="1424"/>
      <c r="B88" s="1424"/>
      <c r="C88" s="1424"/>
      <c r="D88" s="1424"/>
      <c r="E88" s="1424"/>
      <c r="F88" s="1424"/>
      <c r="G88" s="1424"/>
      <c r="H88" s="1424"/>
      <c r="I88" s="1424"/>
      <c r="J88" s="1424"/>
      <c r="K88" s="1424"/>
    </row>
    <row r="89" spans="1:11">
      <c r="A89" s="1424"/>
      <c r="B89" s="1424"/>
      <c r="C89" s="1424"/>
      <c r="D89" s="1424"/>
      <c r="E89" s="1424"/>
      <c r="F89" s="1424"/>
      <c r="G89" s="1424"/>
      <c r="H89" s="1424"/>
      <c r="I89" s="1424"/>
      <c r="J89" s="1424"/>
      <c r="K89" s="1424"/>
    </row>
    <row r="90" spans="1:11">
      <c r="A90" s="1424"/>
      <c r="B90" s="1424"/>
      <c r="C90" s="1424"/>
      <c r="D90" s="1424"/>
      <c r="E90" s="1424"/>
      <c r="F90" s="1424"/>
      <c r="G90" s="1424"/>
      <c r="H90" s="1424"/>
      <c r="I90" s="1424"/>
      <c r="J90" s="1424"/>
      <c r="K90" s="1424"/>
    </row>
    <row r="91" spans="1:11">
      <c r="A91" s="1424"/>
      <c r="B91" s="1424"/>
      <c r="C91" s="1424"/>
      <c r="D91" s="1424"/>
      <c r="E91" s="1424"/>
      <c r="F91" s="1424"/>
      <c r="G91" s="1424"/>
      <c r="H91" s="1424"/>
      <c r="I91" s="1424"/>
      <c r="J91" s="1424"/>
      <c r="K91" s="1424"/>
    </row>
    <row r="97" spans="1:11">
      <c r="B97" s="1375"/>
    </row>
    <row r="98" spans="1:11" ht="15">
      <c r="A98" s="1379"/>
      <c r="B98" s="1430"/>
      <c r="C98" s="1379"/>
      <c r="D98" s="1379"/>
      <c r="E98" s="1379"/>
      <c r="F98" s="1379"/>
      <c r="G98" s="1379"/>
      <c r="H98" s="1379"/>
      <c r="I98" s="1379"/>
      <c r="J98" s="1379"/>
      <c r="K98" s="1379"/>
    </row>
    <row r="99" spans="1:11" ht="15">
      <c r="A99" s="1379"/>
      <c r="B99" s="1426"/>
      <c r="C99" s="1379"/>
      <c r="D99" s="1379"/>
      <c r="E99" s="1379"/>
      <c r="F99" s="1379"/>
      <c r="G99" s="1379"/>
      <c r="H99" s="1379"/>
      <c r="I99" s="1379"/>
      <c r="J99" s="1379"/>
      <c r="K99" s="1379"/>
    </row>
    <row r="100" spans="1:11" ht="15">
      <c r="A100" s="1379"/>
      <c r="B100" s="1426"/>
      <c r="C100" s="1379"/>
      <c r="D100" s="1379"/>
      <c r="E100" s="1379"/>
      <c r="F100" s="1379"/>
      <c r="G100" s="1379"/>
      <c r="H100" s="1379"/>
      <c r="I100" s="1379"/>
      <c r="J100" s="1379"/>
      <c r="K100" s="1379"/>
    </row>
    <row r="101" spans="1:11" ht="15">
      <c r="A101" s="1379"/>
      <c r="B101" s="1426"/>
      <c r="C101" s="1379"/>
      <c r="D101" s="1379"/>
      <c r="E101" s="1379"/>
      <c r="F101" s="1379"/>
      <c r="G101" s="1379"/>
      <c r="H101" s="1379"/>
      <c r="I101" s="1379"/>
      <c r="J101" s="1379"/>
      <c r="K101" s="1379"/>
    </row>
    <row r="102" spans="1:11" ht="15">
      <c r="A102" s="1379"/>
      <c r="B102" s="1426"/>
      <c r="C102" s="1379"/>
      <c r="D102" s="1431"/>
      <c r="E102" s="1431"/>
      <c r="F102" s="1431"/>
      <c r="G102" s="1379"/>
      <c r="H102" s="1379"/>
      <c r="I102" s="1379"/>
      <c r="J102" s="1379"/>
      <c r="K102" s="1379"/>
    </row>
    <row r="103" spans="1:11">
      <c r="A103" s="1432"/>
      <c r="B103" s="1424"/>
      <c r="C103" s="1424"/>
      <c r="D103" s="1424"/>
      <c r="E103" s="1424"/>
      <c r="F103" s="1424"/>
      <c r="G103" s="1424"/>
      <c r="H103" s="1424"/>
      <c r="I103" s="1424"/>
      <c r="J103" s="1424"/>
      <c r="K103" s="1424"/>
    </row>
    <row r="104" spans="1:11">
      <c r="A104" s="1424"/>
      <c r="B104" s="1424"/>
      <c r="C104" s="1424"/>
      <c r="D104" s="1424"/>
      <c r="E104" s="1424"/>
      <c r="F104" s="1424"/>
      <c r="G104" s="1424"/>
      <c r="H104" s="1424"/>
      <c r="I104" s="1424"/>
      <c r="J104" s="1424"/>
      <c r="K104" s="1424"/>
    </row>
    <row r="105" spans="1:11">
      <c r="A105" s="1424"/>
      <c r="B105" s="1424"/>
      <c r="C105" s="1424"/>
      <c r="D105" s="1424"/>
      <c r="E105" s="1424"/>
      <c r="F105" s="1424"/>
      <c r="G105" s="1424"/>
      <c r="H105" s="1424"/>
      <c r="I105" s="1424"/>
      <c r="J105" s="1424"/>
      <c r="K105" s="1424"/>
    </row>
    <row r="106" spans="1:11">
      <c r="A106" s="1424"/>
      <c r="B106" s="1424"/>
      <c r="C106" s="1424"/>
      <c r="D106" s="1424"/>
      <c r="E106" s="1424"/>
      <c r="F106" s="1424"/>
      <c r="G106" s="1424"/>
      <c r="H106" s="1424"/>
      <c r="I106" s="1424"/>
      <c r="J106" s="1424"/>
      <c r="K106" s="1424"/>
    </row>
    <row r="107" spans="1:11">
      <c r="A107" s="1424"/>
      <c r="B107" s="1424"/>
      <c r="C107" s="1424"/>
      <c r="D107" s="1433"/>
      <c r="E107" s="1433"/>
      <c r="F107" s="1433"/>
      <c r="G107" s="1424"/>
      <c r="H107" s="1424"/>
      <c r="I107" s="1424"/>
      <c r="J107" s="1424"/>
      <c r="K107" s="1424"/>
    </row>
    <row r="108" spans="1:11">
      <c r="A108" s="1424"/>
      <c r="B108" s="1424"/>
      <c r="C108" s="1424"/>
      <c r="D108" s="1427"/>
      <c r="E108" s="1427"/>
      <c r="F108" s="1427"/>
      <c r="G108" s="1424"/>
      <c r="H108" s="1424"/>
      <c r="I108" s="1424"/>
      <c r="J108" s="1424"/>
      <c r="K108" s="1424"/>
    </row>
    <row r="109" spans="1:11">
      <c r="A109" s="1424"/>
      <c r="B109" s="1424"/>
      <c r="C109" s="1424"/>
      <c r="D109" s="1433"/>
      <c r="E109" s="1433"/>
      <c r="F109" s="1433"/>
      <c r="G109" s="1424"/>
      <c r="H109" s="1424"/>
      <c r="I109" s="1424"/>
      <c r="J109" s="1424"/>
      <c r="K109" s="1424"/>
    </row>
    <row r="110" spans="1:11">
      <c r="A110" s="1424"/>
      <c r="B110" s="1424"/>
      <c r="C110" s="1424"/>
      <c r="D110" s="1424"/>
      <c r="E110" s="1424"/>
      <c r="F110" s="1424"/>
      <c r="G110" s="1424"/>
      <c r="H110" s="1424"/>
      <c r="I110" s="1424"/>
      <c r="J110" s="1424"/>
      <c r="K110" s="1424"/>
    </row>
    <row r="111" spans="1:11">
      <c r="A111" s="1424"/>
      <c r="B111" s="1424"/>
      <c r="C111" s="1424"/>
      <c r="D111" s="1424"/>
      <c r="E111" s="1424"/>
      <c r="F111" s="1424"/>
      <c r="G111" s="1424"/>
      <c r="H111" s="1424"/>
      <c r="I111" s="1424"/>
      <c r="J111" s="1424"/>
      <c r="K111" s="1424"/>
    </row>
    <row r="112" spans="1:11">
      <c r="A112" s="1424"/>
      <c r="B112" s="1424"/>
      <c r="C112" s="1424"/>
      <c r="D112" s="1424"/>
      <c r="E112" s="1424"/>
      <c r="F112" s="1424"/>
      <c r="G112" s="1424"/>
      <c r="H112" s="1424"/>
      <c r="I112" s="1424"/>
      <c r="J112" s="1424"/>
      <c r="K112" s="1424"/>
    </row>
    <row r="113" spans="1:11" ht="15">
      <c r="A113" s="1424"/>
      <c r="B113" s="1379"/>
      <c r="C113" s="1424"/>
      <c r="D113" s="1424"/>
      <c r="E113" s="1424"/>
      <c r="F113" s="1424"/>
      <c r="G113" s="1424"/>
      <c r="H113" s="1424"/>
      <c r="I113" s="1424"/>
      <c r="J113" s="1424"/>
      <c r="K113" s="1424"/>
    </row>
    <row r="114" spans="1:11">
      <c r="A114" s="1424"/>
      <c r="B114" s="1424"/>
      <c r="C114" s="1424"/>
      <c r="D114" s="1424"/>
      <c r="E114" s="1424"/>
      <c r="F114" s="1424"/>
      <c r="G114" s="1424"/>
      <c r="H114" s="1424"/>
      <c r="I114" s="1424"/>
      <c r="J114" s="1424"/>
      <c r="K114" s="1424"/>
    </row>
    <row r="115" spans="1:11">
      <c r="A115" s="1424"/>
      <c r="B115" s="1424"/>
      <c r="C115" s="1424"/>
      <c r="D115" s="1424"/>
      <c r="E115" s="1424"/>
      <c r="F115" s="1424"/>
      <c r="G115" s="1424"/>
      <c r="H115" s="1424"/>
      <c r="I115" s="1424"/>
      <c r="J115" s="1424"/>
      <c r="K115" s="1424"/>
    </row>
  </sheetData>
  <mergeCells count="17">
    <mergeCell ref="B66:J67"/>
    <mergeCell ref="B69:J70"/>
    <mergeCell ref="B72:I74"/>
    <mergeCell ref="R16:R17"/>
    <mergeCell ref="B48:C48"/>
    <mergeCell ref="R18:R19"/>
    <mergeCell ref="B29:C29"/>
    <mergeCell ref="P32:Q32"/>
    <mergeCell ref="R35:R36"/>
    <mergeCell ref="R37:R38"/>
    <mergeCell ref="A51:J52"/>
    <mergeCell ref="B55:J60"/>
    <mergeCell ref="I9:J9"/>
    <mergeCell ref="K9:M9"/>
    <mergeCell ref="N9:O9"/>
    <mergeCell ref="P9:Q9"/>
    <mergeCell ref="P11:Q11"/>
  </mergeCells>
  <pageMargins left="0.7" right="0.7" top="0.75" bottom="0.75" header="0.3" footer="0.3"/>
  <pageSetup scale="1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40"/>
  <sheetViews>
    <sheetView view="pageBreakPreview" topLeftCell="A16" zoomScaleNormal="85" zoomScaleSheetLayoutView="100" workbookViewId="0">
      <selection activeCell="D16" sqref="D16"/>
    </sheetView>
  </sheetViews>
  <sheetFormatPr defaultColWidth="11.42578125" defaultRowHeight="12.75"/>
  <cols>
    <col min="1" max="1" width="8.140625" style="67" customWidth="1"/>
    <col min="2" max="2" width="16.5703125" style="68" bestFit="1" customWidth="1"/>
    <col min="3" max="3" width="44.140625" style="68" customWidth="1"/>
    <col min="4" max="4" width="29.5703125" style="68" customWidth="1"/>
    <col min="5" max="5" width="24.42578125" style="77" customWidth="1"/>
    <col min="6" max="6" width="1" style="77" customWidth="1"/>
    <col min="7" max="7" width="20.85546875" style="68" customWidth="1"/>
    <col min="8" max="8" width="1" style="68" customWidth="1"/>
    <col min="9" max="9" width="19.140625" style="68" customWidth="1"/>
    <col min="10" max="10" width="16.5703125" style="68" customWidth="1"/>
    <col min="11" max="11" width="15.42578125" style="68" customWidth="1"/>
    <col min="12" max="12" width="33.5703125" style="68" customWidth="1"/>
    <col min="13" max="14" width="13.42578125" style="68" customWidth="1"/>
    <col min="15" max="15" width="13.5703125" style="68" customWidth="1"/>
    <col min="16" max="16384" width="11.42578125" style="68"/>
  </cols>
  <sheetData>
    <row r="1" spans="1:15" ht="15.75">
      <c r="A1" s="893" t="s">
        <v>114</v>
      </c>
    </row>
    <row r="2" spans="1:15" ht="15.75">
      <c r="A2" s="893" t="s">
        <v>114</v>
      </c>
    </row>
    <row r="3" spans="1:15" ht="15">
      <c r="A3" s="1488" t="str">
        <f>+'WS B ADIT &amp; ITC'!A3:I3</f>
        <v>AEP East Companies</v>
      </c>
      <c r="B3" s="1488"/>
      <c r="C3" s="1488"/>
      <c r="D3" s="1488"/>
      <c r="E3" s="1488"/>
      <c r="F3" s="1488"/>
      <c r="G3" s="1488"/>
      <c r="H3" s="1488"/>
      <c r="I3" s="1488"/>
      <c r="J3" s="1488"/>
      <c r="K3" s="1488"/>
      <c r="L3" s="1488"/>
      <c r="M3" s="38"/>
      <c r="N3" s="38"/>
      <c r="O3" s="38"/>
    </row>
    <row r="4" spans="1:15" ht="15">
      <c r="A4" s="1489" t="str">
        <f>"Cost of Service Formula Rate Using Actual/Projected FF1 Balances"</f>
        <v>Cost of Service Formula Rate Using Actual/Projected FF1 Balances</v>
      </c>
      <c r="B4" s="1489"/>
      <c r="C4" s="1489"/>
      <c r="D4" s="1489"/>
      <c r="E4" s="1489"/>
      <c r="F4" s="1489"/>
      <c r="G4" s="1489"/>
      <c r="H4" s="1489"/>
      <c r="I4" s="1489"/>
      <c r="J4" s="1489"/>
      <c r="K4" s="1489"/>
      <c r="L4" s="1489"/>
      <c r="M4" s="95"/>
      <c r="N4" s="95"/>
      <c r="O4" s="95"/>
    </row>
    <row r="5" spans="1:15" ht="15">
      <c r="A5" s="1489" t="s">
        <v>495</v>
      </c>
      <c r="B5" s="1489"/>
      <c r="C5" s="1489"/>
      <c r="D5" s="1489"/>
      <c r="E5" s="1489"/>
      <c r="F5" s="1489"/>
      <c r="G5" s="1489"/>
      <c r="H5" s="1489"/>
      <c r="I5" s="1489"/>
      <c r="J5" s="1489"/>
      <c r="K5" s="1489"/>
      <c r="L5" s="1489"/>
      <c r="M5" s="94"/>
      <c r="N5" s="94"/>
      <c r="O5" s="94"/>
    </row>
    <row r="6" spans="1:15" ht="15">
      <c r="A6" s="1500" t="str">
        <f>TCOS!F9</f>
        <v>Appalachian Power Company</v>
      </c>
      <c r="B6" s="1500"/>
      <c r="C6" s="1500"/>
      <c r="D6" s="1500"/>
      <c r="E6" s="1500"/>
      <c r="F6" s="1500"/>
      <c r="G6" s="1500"/>
      <c r="H6" s="1500"/>
      <c r="I6" s="1500"/>
      <c r="J6" s="1500"/>
      <c r="K6" s="1500"/>
      <c r="L6" s="1500"/>
      <c r="M6" s="4"/>
      <c r="N6" s="4"/>
      <c r="O6" s="4"/>
    </row>
    <row r="7" spans="1:15" ht="15">
      <c r="A7" s="4"/>
      <c r="B7" s="4"/>
      <c r="C7" s="4"/>
      <c r="D7" s="4"/>
      <c r="E7" s="4"/>
      <c r="F7" s="4"/>
      <c r="G7" s="4"/>
      <c r="H7" s="3"/>
      <c r="I7" s="66"/>
      <c r="J7" s="66"/>
      <c r="K7" s="66"/>
      <c r="L7" s="66"/>
      <c r="M7" s="66"/>
      <c r="N7" s="66"/>
      <c r="O7" s="66"/>
    </row>
    <row r="8" spans="1:15" ht="12.75" customHeight="1">
      <c r="A8" s="92"/>
      <c r="B8" s="92" t="s">
        <v>162</v>
      </c>
      <c r="C8" s="92" t="s">
        <v>163</v>
      </c>
      <c r="D8" s="90" t="s">
        <v>4</v>
      </c>
      <c r="E8" s="90" t="s">
        <v>165</v>
      </c>
      <c r="F8" s="92"/>
      <c r="G8" s="92" t="s">
        <v>84</v>
      </c>
      <c r="H8" s="92"/>
      <c r="I8" s="92" t="s">
        <v>85</v>
      </c>
      <c r="J8" s="92" t="s">
        <v>86</v>
      </c>
      <c r="K8" s="92" t="s">
        <v>91</v>
      </c>
      <c r="L8" s="92" t="s">
        <v>500</v>
      </c>
      <c r="M8" s="92"/>
      <c r="N8" s="92"/>
      <c r="O8" s="92"/>
    </row>
    <row r="9" spans="1:15">
      <c r="A9" s="65"/>
    </row>
    <row r="10" spans="1:15" ht="18">
      <c r="A10" s="89"/>
      <c r="B10" s="1515" t="s">
        <v>207</v>
      </c>
      <c r="C10" s="1515"/>
      <c r="D10" s="1515"/>
      <c r="E10" s="1515"/>
      <c r="F10" s="1515"/>
      <c r="G10" s="1515"/>
      <c r="H10" s="1515"/>
      <c r="I10" s="1515"/>
      <c r="J10" s="1515"/>
      <c r="K10" s="1515"/>
      <c r="O10" s="77"/>
    </row>
    <row r="11" spans="1:15">
      <c r="A11" s="89"/>
      <c r="I11" s="16"/>
      <c r="J11" s="16"/>
      <c r="O11" s="77"/>
    </row>
    <row r="12" spans="1:15" ht="12.75" customHeight="1">
      <c r="A12" s="12" t="s">
        <v>169</v>
      </c>
      <c r="B12" s="70"/>
      <c r="C12" s="78"/>
      <c r="D12" s="194"/>
      <c r="E12" s="1516" t="str">
        <f>"Balance @ December 31, "&amp;TCOS!L4&amp;""</f>
        <v>Balance @ December 31, 2020</v>
      </c>
      <c r="F12" s="194"/>
      <c r="G12" s="1516" t="str">
        <f>"Balance @ December 31, "&amp;TCOS!L4-1&amp;""</f>
        <v>Balance @ December 31, 2019</v>
      </c>
      <c r="H12" s="241"/>
      <c r="I12" s="1501" t="str">
        <f>"Average Balance for "&amp;TCOS!L4&amp;""</f>
        <v>Average Balance for 2020</v>
      </c>
      <c r="J12" s="101"/>
      <c r="K12" s="73"/>
      <c r="L12" s="79"/>
      <c r="M12" s="73"/>
      <c r="N12" s="73"/>
      <c r="O12" s="77"/>
    </row>
    <row r="13" spans="1:15">
      <c r="A13" s="12" t="s">
        <v>106</v>
      </c>
      <c r="B13" s="74"/>
      <c r="C13" s="70"/>
      <c r="D13" s="195" t="s">
        <v>206</v>
      </c>
      <c r="E13" s="1517"/>
      <c r="F13" s="196"/>
      <c r="G13" s="1517"/>
      <c r="H13" s="197"/>
      <c r="I13" s="1499"/>
      <c r="J13" s="101"/>
      <c r="K13" s="80"/>
      <c r="L13" s="81"/>
      <c r="M13" s="71"/>
      <c r="N13" s="71"/>
    </row>
    <row r="14" spans="1:15">
      <c r="A14" s="74"/>
      <c r="B14" s="74"/>
      <c r="C14" s="70"/>
      <c r="D14" s="76"/>
      <c r="E14" s="69"/>
      <c r="F14" s="69"/>
      <c r="G14" s="214"/>
      <c r="H14" s="75"/>
      <c r="J14" s="16"/>
      <c r="K14" s="80"/>
      <c r="L14" s="81"/>
      <c r="M14" s="71"/>
      <c r="N14" s="71"/>
    </row>
    <row r="15" spans="1:15">
      <c r="A15" s="74">
        <v>1</v>
      </c>
      <c r="B15" s="74"/>
      <c r="D15" s="59"/>
      <c r="E15" s="30"/>
      <c r="F15" s="30"/>
      <c r="G15" s="30"/>
      <c r="H15" s="30"/>
      <c r="I15" s="30"/>
      <c r="K15" s="30"/>
      <c r="L15" s="30"/>
      <c r="M15" s="71"/>
      <c r="N15" s="71"/>
    </row>
    <row r="16" spans="1:15">
      <c r="A16" s="74"/>
      <c r="B16" s="74"/>
      <c r="C16" s="59"/>
      <c r="D16" s="59"/>
      <c r="E16" s="30"/>
      <c r="F16" s="30"/>
      <c r="G16" s="30"/>
      <c r="H16" s="30"/>
      <c r="I16" s="30"/>
      <c r="K16" s="30"/>
      <c r="L16" s="30"/>
      <c r="M16" s="71"/>
      <c r="N16" s="71"/>
    </row>
    <row r="17" spans="1:14">
      <c r="A17" s="74">
        <f>+A15+1</f>
        <v>2</v>
      </c>
      <c r="B17" s="74"/>
      <c r="C17" s="59" t="s">
        <v>526</v>
      </c>
      <c r="D17" s="72" t="s">
        <v>435</v>
      </c>
      <c r="E17" s="849">
        <v>67643</v>
      </c>
      <c r="F17" s="30"/>
      <c r="G17" s="849">
        <v>51574</v>
      </c>
      <c r="H17" s="30"/>
      <c r="I17" s="133">
        <f>IF(G17="",0,(E17+G17)/2)</f>
        <v>59608.5</v>
      </c>
      <c r="J17"/>
      <c r="K17" s="133"/>
      <c r="L17" s="30"/>
      <c r="M17" s="71"/>
      <c r="N17" s="71"/>
    </row>
    <row r="18" spans="1:14">
      <c r="A18" s="74"/>
      <c r="B18" s="74"/>
      <c r="C18" s="59"/>
      <c r="D18"/>
      <c r="E18"/>
      <c r="F18"/>
      <c r="G18"/>
      <c r="H18"/>
      <c r="I18" s="5"/>
      <c r="J18"/>
      <c r="K18"/>
      <c r="L18" s="30"/>
      <c r="M18" s="71"/>
      <c r="N18" s="71"/>
    </row>
    <row r="19" spans="1:14">
      <c r="A19" s="74">
        <f>+A17+1</f>
        <v>3</v>
      </c>
      <c r="B19" s="74"/>
      <c r="C19" s="59" t="s">
        <v>528</v>
      </c>
      <c r="D19" s="72" t="s">
        <v>436</v>
      </c>
      <c r="E19" s="849">
        <v>297940</v>
      </c>
      <c r="F19" s="30"/>
      <c r="G19" s="849">
        <v>267708</v>
      </c>
      <c r="H19" s="75"/>
      <c r="I19" s="133">
        <f>IF(G19="",0,(E19+G19)/2)</f>
        <v>282824</v>
      </c>
      <c r="J19" s="16"/>
      <c r="K19" s="80"/>
      <c r="L19" s="81"/>
      <c r="M19" s="71"/>
      <c r="N19" s="71"/>
    </row>
    <row r="20" spans="1:14">
      <c r="A20" s="74"/>
      <c r="B20" s="74"/>
      <c r="C20" s="59"/>
      <c r="D20" s="72"/>
      <c r="E20"/>
      <c r="F20"/>
      <c r="G20"/>
      <c r="H20"/>
      <c r="I20"/>
      <c r="J20"/>
      <c r="K20" s="80"/>
      <c r="L20" s="81"/>
      <c r="M20" s="71"/>
      <c r="N20" s="71"/>
    </row>
    <row r="21" spans="1:14">
      <c r="A21" s="74">
        <f>+A19+1</f>
        <v>4</v>
      </c>
      <c r="B21" s="74"/>
      <c r="C21" s="59" t="s">
        <v>761</v>
      </c>
      <c r="D21" s="72" t="s">
        <v>437</v>
      </c>
      <c r="E21" s="849"/>
      <c r="F21" s="30"/>
      <c r="G21" s="849"/>
      <c r="H21" s="75"/>
      <c r="I21" s="133">
        <f>IF(G21="",0,(E21+G21)/2)</f>
        <v>0</v>
      </c>
      <c r="J21" s="16"/>
      <c r="K21" s="80"/>
      <c r="L21" s="81"/>
      <c r="M21" s="71"/>
      <c r="N21" s="71"/>
    </row>
    <row r="22" spans="1:14">
      <c r="A22" s="74"/>
      <c r="B22" s="74"/>
      <c r="C22" s="70"/>
      <c r="D22" s="76"/>
      <c r="E22" s="69"/>
      <c r="F22" s="69"/>
      <c r="G22" s="77"/>
      <c r="H22" s="75"/>
      <c r="I22" s="77"/>
      <c r="J22" s="16"/>
      <c r="K22" s="80"/>
      <c r="L22" s="81"/>
      <c r="M22" s="71"/>
      <c r="N22" s="71"/>
    </row>
    <row r="23" spans="1:14">
      <c r="A23" s="184"/>
      <c r="B23" s="184"/>
      <c r="C23" s="185"/>
      <c r="D23" s="186"/>
      <c r="E23" s="187"/>
      <c r="F23" s="187"/>
      <c r="G23" s="188"/>
      <c r="H23" s="189"/>
      <c r="I23" s="188"/>
      <c r="J23" s="190"/>
      <c r="K23" s="191"/>
      <c r="L23" s="192"/>
      <c r="M23" s="71"/>
      <c r="N23" s="71"/>
    </row>
    <row r="24" spans="1:14" ht="18">
      <c r="A24" s="74"/>
      <c r="B24" s="1515" t="s">
        <v>760</v>
      </c>
      <c r="C24" s="1515"/>
      <c r="D24" s="1515"/>
      <c r="E24" s="1515"/>
      <c r="F24" s="1515"/>
      <c r="G24" s="1515"/>
      <c r="H24" s="1515"/>
      <c r="I24" s="1515"/>
      <c r="J24" s="1515"/>
      <c r="K24" s="1515"/>
      <c r="L24" s="81"/>
      <c r="M24" s="71"/>
      <c r="N24" s="71"/>
    </row>
    <row r="25" spans="1:14" ht="12.75" customHeight="1">
      <c r="A25" s="74"/>
      <c r="B25" s="146"/>
      <c r="C25" s="70"/>
      <c r="D25" s="24"/>
      <c r="E25" s="10"/>
      <c r="F25" s="68"/>
      <c r="G25" s="10" t="s">
        <v>87</v>
      </c>
      <c r="I25" s="8" t="s">
        <v>115</v>
      </c>
      <c r="J25" s="8" t="s">
        <v>115</v>
      </c>
      <c r="K25" s="8" t="s">
        <v>179</v>
      </c>
      <c r="L25" s="81"/>
      <c r="M25" s="71"/>
      <c r="N25" s="71"/>
    </row>
    <row r="26" spans="1:14" ht="12.75" customHeight="1">
      <c r="A26" s="74"/>
      <c r="B26" s="146"/>
      <c r="C26" s="70"/>
      <c r="D26" s="143" t="s">
        <v>501</v>
      </c>
      <c r="E26" s="8" t="s">
        <v>530</v>
      </c>
      <c r="F26" s="68"/>
      <c r="G26" s="8" t="s">
        <v>115</v>
      </c>
      <c r="I26" s="8" t="s">
        <v>523</v>
      </c>
      <c r="J26" s="8" t="s">
        <v>161</v>
      </c>
      <c r="K26" s="8" t="s">
        <v>180</v>
      </c>
      <c r="L26" s="81"/>
      <c r="M26" s="71"/>
      <c r="N26" s="71"/>
    </row>
    <row r="27" spans="1:14" ht="12.75" customHeight="1">
      <c r="A27" s="74">
        <f>+A21+1</f>
        <v>5</v>
      </c>
      <c r="B27" s="146"/>
      <c r="C27" s="70"/>
      <c r="D27" s="13" t="s">
        <v>88</v>
      </c>
      <c r="E27" s="13" t="s">
        <v>502</v>
      </c>
      <c r="F27" s="68"/>
      <c r="G27" s="13" t="s">
        <v>524</v>
      </c>
      <c r="I27" s="13" t="s">
        <v>524</v>
      </c>
      <c r="J27" s="13" t="s">
        <v>524</v>
      </c>
      <c r="K27" s="13" t="s">
        <v>525</v>
      </c>
      <c r="L27" s="81"/>
      <c r="M27" s="71"/>
      <c r="N27" s="71"/>
    </row>
    <row r="28" spans="1:14">
      <c r="A28" s="74"/>
      <c r="B28" s="74"/>
      <c r="C28" s="70"/>
      <c r="D28" s="76"/>
      <c r="E28" s="69"/>
      <c r="F28" s="69"/>
      <c r="G28" s="77"/>
      <c r="H28" s="75"/>
      <c r="I28" s="77"/>
      <c r="J28" s="16"/>
      <c r="K28" s="215"/>
      <c r="L28" s="81"/>
      <c r="M28" s="71"/>
      <c r="N28" s="71"/>
    </row>
    <row r="29" spans="1:14">
      <c r="A29" s="74">
        <f>+A27+1</f>
        <v>6</v>
      </c>
      <c r="B29" s="74"/>
      <c r="C29" s="68" t="str">
        <f>"Totals as of December 31, "&amp;TCOS!L4&amp;""</f>
        <v>Totals as of December 31, 2020</v>
      </c>
      <c r="D29" s="147">
        <f>ROUND(D61,0)</f>
        <v>6969431</v>
      </c>
      <c r="E29" s="222">
        <f>ROUND(E61,0)</f>
        <v>-247279155</v>
      </c>
      <c r="F29" s="148"/>
      <c r="G29" s="147">
        <f>ROUND(G61,0)</f>
        <v>0</v>
      </c>
      <c r="H29" s="75"/>
      <c r="I29" s="147">
        <f>ROUND(I61,0)</f>
        <v>4916565</v>
      </c>
      <c r="J29" s="149">
        <f>+J61</f>
        <v>249332020.72999999</v>
      </c>
      <c r="K29" s="147">
        <f>ROUND(K61,0)</f>
        <v>254248586</v>
      </c>
      <c r="L29" s="81"/>
      <c r="M29" s="71"/>
      <c r="N29" s="71"/>
    </row>
    <row r="30" spans="1:14">
      <c r="A30" s="74">
        <f>+A29+1</f>
        <v>7</v>
      </c>
      <c r="B30" s="74"/>
      <c r="C30" s="68" t="str">
        <f>"Totals as of December 31, "&amp;TCOS!L4-1&amp;""</f>
        <v>Totals as of December 31, 2019</v>
      </c>
      <c r="D30" s="152">
        <f>IF(D94="","",D94)</f>
        <v>8475536.6500000209</v>
      </c>
      <c r="E30" s="223">
        <f>IF(E94="","",E94)</f>
        <v>-230824001.97</v>
      </c>
      <c r="F30" s="69"/>
      <c r="G30" s="152" t="str">
        <f>IF(G94="","",G94)</f>
        <v/>
      </c>
      <c r="H30" s="75"/>
      <c r="I30" s="152">
        <f>IF(I94="","",I94)</f>
        <v>5318698.4500000011</v>
      </c>
      <c r="J30" s="152">
        <f>IF(J94="","",J94)</f>
        <v>233980841.16999999</v>
      </c>
      <c r="K30" s="152">
        <f>IF(K94="","",K94)</f>
        <v>239299539.61999997</v>
      </c>
      <c r="L30" s="81"/>
      <c r="M30" s="71"/>
      <c r="N30" s="71"/>
    </row>
    <row r="31" spans="1:14" ht="13.5" thickBot="1">
      <c r="A31" s="74">
        <f>+A30+1</f>
        <v>8</v>
      </c>
      <c r="B31" s="74"/>
      <c r="C31" s="97" t="s">
        <v>213</v>
      </c>
      <c r="D31" s="153">
        <f>IF(D30="",0,(D29+D30)/2)</f>
        <v>7722483.8250000104</v>
      </c>
      <c r="E31" s="153">
        <f>IF(E30="",0,(E29+E30)/2)</f>
        <v>-239051578.48500001</v>
      </c>
      <c r="F31" s="154"/>
      <c r="G31" s="153">
        <f>IF(G30="",0,(G29+G30)/2)</f>
        <v>0</v>
      </c>
      <c r="H31" s="91"/>
      <c r="I31" s="153">
        <f>IF(I30="",0,(I29+I30)/2)</f>
        <v>5117631.7250000006</v>
      </c>
      <c r="J31" s="153">
        <f>IF(J30="",0,(J29+J30)/2)</f>
        <v>241656430.94999999</v>
      </c>
      <c r="K31" s="153">
        <f>IF(K30="",0,(K29+K30)/2)</f>
        <v>246774062.81</v>
      </c>
      <c r="L31" s="81"/>
      <c r="M31" s="71"/>
      <c r="N31" s="71"/>
    </row>
    <row r="32" spans="1:14" ht="13.5" thickTop="1">
      <c r="A32" s="74"/>
      <c r="B32" s="74"/>
      <c r="D32" s="76"/>
      <c r="E32" s="69"/>
      <c r="F32" s="69"/>
      <c r="G32" s="77"/>
      <c r="H32" s="75"/>
      <c r="I32" s="77"/>
      <c r="J32" s="16"/>
      <c r="K32" s="80"/>
      <c r="L32" s="81"/>
      <c r="M32" s="71"/>
      <c r="N32" s="71"/>
    </row>
    <row r="33" spans="1:14">
      <c r="A33" s="68"/>
      <c r="E33" s="68"/>
      <c r="F33" s="68"/>
      <c r="J33" s="16"/>
      <c r="K33" s="80"/>
      <c r="L33" s="81"/>
      <c r="M33" s="71"/>
      <c r="N33" s="71"/>
    </row>
    <row r="34" spans="1:14" ht="18">
      <c r="A34" s="74"/>
      <c r="B34" s="1514" t="str">
        <f>"Prepayments Account 165 - Balance @ 12/31/"&amp;D36&amp;""</f>
        <v>Prepayments Account 165 - Balance @ 12/31/2020</v>
      </c>
      <c r="C34" s="1518"/>
      <c r="D34" s="1518"/>
      <c r="E34" s="1518"/>
      <c r="F34" s="1518"/>
      <c r="G34" s="1518"/>
      <c r="H34" s="1518"/>
      <c r="I34" s="1518"/>
      <c r="J34" s="1518"/>
      <c r="K34" s="80"/>
      <c r="L34" s="81"/>
      <c r="M34" s="71"/>
      <c r="N34" s="71"/>
    </row>
    <row r="35" spans="1:14">
      <c r="A35" s="74"/>
      <c r="B35" s="139"/>
      <c r="C35" s="141"/>
      <c r="D35" s="24"/>
      <c r="E35" s="10"/>
      <c r="F35" s="68"/>
      <c r="G35" s="10" t="s">
        <v>87</v>
      </c>
      <c r="I35" s="8" t="s">
        <v>115</v>
      </c>
      <c r="J35" s="8" t="s">
        <v>115</v>
      </c>
      <c r="K35" s="8" t="s">
        <v>179</v>
      </c>
      <c r="L35"/>
      <c r="M35" s="71"/>
      <c r="N35" s="71"/>
    </row>
    <row r="36" spans="1:14">
      <c r="A36" s="74"/>
      <c r="B36" s="139"/>
      <c r="C36" s="142"/>
      <c r="D36" s="143" t="str">
        <f>""&amp;TCOS!L4</f>
        <v>2020</v>
      </c>
      <c r="E36" s="8" t="s">
        <v>530</v>
      </c>
      <c r="F36" s="68"/>
      <c r="G36" s="8" t="s">
        <v>115</v>
      </c>
      <c r="I36" s="8" t="s">
        <v>523</v>
      </c>
      <c r="J36" s="8" t="s">
        <v>161</v>
      </c>
      <c r="K36" s="8" t="s">
        <v>180</v>
      </c>
      <c r="L36"/>
      <c r="M36" s="71"/>
      <c r="N36" s="71"/>
    </row>
    <row r="37" spans="1:14">
      <c r="A37" s="74">
        <f>+A31+1</f>
        <v>9</v>
      </c>
      <c r="B37" s="13" t="s">
        <v>90</v>
      </c>
      <c r="C37" s="13" t="s">
        <v>167</v>
      </c>
      <c r="D37" s="13" t="s">
        <v>88</v>
      </c>
      <c r="E37" s="13" t="s">
        <v>502</v>
      </c>
      <c r="F37" s="68"/>
      <c r="G37" s="13" t="s">
        <v>524</v>
      </c>
      <c r="I37" s="13" t="s">
        <v>524</v>
      </c>
      <c r="J37" s="13" t="s">
        <v>524</v>
      </c>
      <c r="K37" s="13" t="s">
        <v>525</v>
      </c>
      <c r="L37" s="13" t="s">
        <v>39</v>
      </c>
      <c r="M37" s="71"/>
      <c r="N37" s="71"/>
    </row>
    <row r="38" spans="1:14">
      <c r="A38" s="74"/>
      <c r="B38" s="139"/>
      <c r="C38" s="141"/>
      <c r="D38" s="141"/>
      <c r="E38" s="141"/>
      <c r="F38" s="68"/>
      <c r="G38" s="141"/>
      <c r="I38" s="141"/>
      <c r="J38" s="141"/>
      <c r="K38" s="215"/>
      <c r="L38"/>
      <c r="M38" s="71"/>
      <c r="N38" s="71"/>
    </row>
    <row r="39" spans="1:14" ht="14.25">
      <c r="A39" s="74">
        <f>+A37+1</f>
        <v>10</v>
      </c>
      <c r="B39" s="850" t="s">
        <v>871</v>
      </c>
      <c r="C39" s="851" t="s">
        <v>872</v>
      </c>
      <c r="D39" s="852">
        <v>2239756.5</v>
      </c>
      <c r="E39" s="99">
        <f>+D39-K39</f>
        <v>0</v>
      </c>
      <c r="F39" s="68"/>
      <c r="G39" s="105"/>
      <c r="I39" s="105">
        <f>+D39</f>
        <v>2239756.5</v>
      </c>
      <c r="J39" s="105"/>
      <c r="K39" s="105">
        <f t="shared" ref="K39:K42" si="0">+G39+I39+J39</f>
        <v>2239756.5</v>
      </c>
      <c r="L39" t="s">
        <v>531</v>
      </c>
      <c r="M39" s="71"/>
      <c r="N39" s="71"/>
    </row>
    <row r="40" spans="1:14" ht="14.25">
      <c r="A40" s="74">
        <f t="shared" ref="A40:A60" si="1">+A39+1</f>
        <v>11</v>
      </c>
      <c r="B40" s="853">
        <v>165000218</v>
      </c>
      <c r="C40" s="851" t="s">
        <v>873</v>
      </c>
      <c r="D40" s="852">
        <v>0</v>
      </c>
      <c r="E40" s="99">
        <f t="shared" ref="E40:E42" si="2">+D40-K40</f>
        <v>0</v>
      </c>
      <c r="F40" s="68"/>
      <c r="G40" s="105"/>
      <c r="I40" s="105"/>
      <c r="J40" s="105"/>
      <c r="K40" s="105">
        <f t="shared" si="0"/>
        <v>0</v>
      </c>
      <c r="M40" s="71"/>
      <c r="N40" s="71"/>
    </row>
    <row r="41" spans="1:14" ht="14.25">
      <c r="A41" s="74">
        <f t="shared" si="1"/>
        <v>12</v>
      </c>
      <c r="B41" s="853">
        <v>165000219</v>
      </c>
      <c r="C41" s="851" t="s">
        <v>873</v>
      </c>
      <c r="D41" s="852">
        <v>0</v>
      </c>
      <c r="E41" s="99">
        <f t="shared" si="2"/>
        <v>0</v>
      </c>
      <c r="F41" s="68"/>
      <c r="G41" s="105"/>
      <c r="I41" s="105">
        <v>0</v>
      </c>
      <c r="J41" s="105"/>
      <c r="K41" s="105">
        <f t="shared" si="0"/>
        <v>0</v>
      </c>
      <c r="L41" s="68" t="s">
        <v>1352</v>
      </c>
      <c r="M41" s="71"/>
      <c r="N41" s="71"/>
    </row>
    <row r="42" spans="1:14" ht="14.25">
      <c r="A42" s="74">
        <f t="shared" si="1"/>
        <v>13</v>
      </c>
      <c r="B42" s="853">
        <v>165000220</v>
      </c>
      <c r="C42" s="851" t="s">
        <v>873</v>
      </c>
      <c r="D42" s="852">
        <v>1371855.84</v>
      </c>
      <c r="E42" s="99">
        <f t="shared" si="2"/>
        <v>1371855.84</v>
      </c>
      <c r="F42" s="68"/>
      <c r="G42" s="105"/>
      <c r="I42" s="105"/>
      <c r="J42" s="105"/>
      <c r="K42" s="105">
        <f t="shared" si="0"/>
        <v>0</v>
      </c>
      <c r="L42" s="68" t="s">
        <v>994</v>
      </c>
      <c r="M42" s="71"/>
      <c r="N42" s="71"/>
    </row>
    <row r="43" spans="1:14" ht="14.25">
      <c r="A43" s="74">
        <f t="shared" si="1"/>
        <v>14</v>
      </c>
      <c r="B43" s="1302" t="s">
        <v>874</v>
      </c>
      <c r="C43" s="851" t="s">
        <v>875</v>
      </c>
      <c r="D43" s="852">
        <v>22559</v>
      </c>
      <c r="E43" s="99">
        <f t="shared" ref="E43:E49" si="3">+D43-K43</f>
        <v>22559</v>
      </c>
      <c r="F43" s="68"/>
      <c r="G43" s="105"/>
      <c r="I43" s="105"/>
      <c r="J43" s="105"/>
      <c r="K43" s="105">
        <f t="shared" ref="K43:K49" si="4">+G43+I43+J43</f>
        <v>0</v>
      </c>
      <c r="L43" s="6" t="s">
        <v>875</v>
      </c>
      <c r="M43" s="71"/>
      <c r="N43" s="71"/>
    </row>
    <row r="44" spans="1:14" ht="14.25">
      <c r="A44" s="74">
        <f t="shared" si="1"/>
        <v>15</v>
      </c>
      <c r="B44" s="850" t="s">
        <v>876</v>
      </c>
      <c r="C44" s="851" t="s">
        <v>877</v>
      </c>
      <c r="D44" s="852">
        <v>545178.52</v>
      </c>
      <c r="E44" s="99">
        <f t="shared" si="3"/>
        <v>545178.52</v>
      </c>
      <c r="F44" s="68"/>
      <c r="G44" s="136"/>
      <c r="I44" s="136"/>
      <c r="J44" s="136"/>
      <c r="K44" s="136">
        <f t="shared" si="4"/>
        <v>0</v>
      </c>
      <c r="L44" s="21" t="s">
        <v>1003</v>
      </c>
      <c r="M44" s="71"/>
      <c r="N44" s="71"/>
    </row>
    <row r="45" spans="1:14" ht="14.25">
      <c r="A45" s="74">
        <f t="shared" si="1"/>
        <v>16</v>
      </c>
      <c r="B45" s="850" t="s">
        <v>878</v>
      </c>
      <c r="C45" s="851" t="s">
        <v>879</v>
      </c>
      <c r="D45" s="852">
        <v>98272.72</v>
      </c>
      <c r="E45" s="99">
        <f t="shared" si="3"/>
        <v>98272.72</v>
      </c>
      <c r="F45" s="68"/>
      <c r="G45" s="105"/>
      <c r="I45" s="105"/>
      <c r="J45" s="105"/>
      <c r="K45" s="136">
        <f t="shared" si="4"/>
        <v>0</v>
      </c>
      <c r="L45" s="21" t="s">
        <v>904</v>
      </c>
      <c r="M45" s="71"/>
      <c r="N45" s="71"/>
    </row>
    <row r="46" spans="1:14" ht="14.25">
      <c r="A46" s="74">
        <f t="shared" si="1"/>
        <v>17</v>
      </c>
      <c r="B46" s="1302" t="s">
        <v>992</v>
      </c>
      <c r="C46" s="851" t="s">
        <v>993</v>
      </c>
      <c r="D46" s="852">
        <v>0</v>
      </c>
      <c r="E46" s="99">
        <f t="shared" si="3"/>
        <v>0</v>
      </c>
      <c r="F46" s="68"/>
      <c r="G46" s="105"/>
      <c r="I46" s="105"/>
      <c r="J46" s="105"/>
      <c r="K46" s="136">
        <f t="shared" si="4"/>
        <v>0</v>
      </c>
      <c r="L46" s="5" t="s">
        <v>995</v>
      </c>
      <c r="M46" s="71"/>
      <c r="N46" s="71"/>
    </row>
    <row r="47" spans="1:14" ht="14.25">
      <c r="A47" s="74">
        <f t="shared" si="1"/>
        <v>18</v>
      </c>
      <c r="B47" s="1241" t="s">
        <v>880</v>
      </c>
      <c r="C47" s="851" t="s">
        <v>905</v>
      </c>
      <c r="D47" s="852">
        <v>152128439.84999999</v>
      </c>
      <c r="E47" s="99">
        <f t="shared" si="3"/>
        <v>0</v>
      </c>
      <c r="F47" s="68"/>
      <c r="G47" s="105"/>
      <c r="I47" s="105"/>
      <c r="J47" s="105">
        <f>D47</f>
        <v>152128439.84999999</v>
      </c>
      <c r="K47" s="136">
        <f t="shared" si="4"/>
        <v>152128439.84999999</v>
      </c>
      <c r="L47" s="5" t="s">
        <v>1004</v>
      </c>
      <c r="M47" s="71"/>
      <c r="N47" s="71"/>
    </row>
    <row r="48" spans="1:14" ht="14.25">
      <c r="A48" s="74">
        <f t="shared" si="1"/>
        <v>19</v>
      </c>
      <c r="B48" s="1241" t="s">
        <v>882</v>
      </c>
      <c r="C48" s="851" t="s">
        <v>883</v>
      </c>
      <c r="D48" s="852">
        <v>-152128439.84999999</v>
      </c>
      <c r="E48" s="99">
        <f t="shared" si="3"/>
        <v>-152128439.84999999</v>
      </c>
      <c r="F48" s="68"/>
      <c r="G48" s="136"/>
      <c r="I48" s="136"/>
      <c r="J48" s="136"/>
      <c r="K48" s="136">
        <f t="shared" si="4"/>
        <v>0</v>
      </c>
      <c r="L48" s="21" t="s">
        <v>1005</v>
      </c>
      <c r="M48" s="71"/>
      <c r="N48" s="71"/>
    </row>
    <row r="49" spans="1:15" ht="14.25">
      <c r="A49" s="74">
        <f t="shared" si="1"/>
        <v>20</v>
      </c>
      <c r="B49" s="853">
        <v>165001220</v>
      </c>
      <c r="C49" s="851" t="s">
        <v>881</v>
      </c>
      <c r="D49" s="852">
        <v>15000</v>
      </c>
      <c r="E49" s="99">
        <f t="shared" si="3"/>
        <v>15000</v>
      </c>
      <c r="F49" s="68"/>
      <c r="G49" s="136"/>
      <c r="I49" s="136"/>
      <c r="J49" s="136"/>
      <c r="K49" s="136">
        <f t="shared" si="4"/>
        <v>0</v>
      </c>
      <c r="L49" s="21" t="s">
        <v>906</v>
      </c>
      <c r="M49" s="71"/>
      <c r="N49" s="71"/>
    </row>
    <row r="50" spans="1:15" ht="14.25">
      <c r="A50" s="74">
        <f t="shared" si="1"/>
        <v>21</v>
      </c>
      <c r="B50" s="853" t="s">
        <v>884</v>
      </c>
      <c r="C50" s="851" t="s">
        <v>885</v>
      </c>
      <c r="D50" s="852">
        <v>0</v>
      </c>
      <c r="E50" s="99">
        <f t="shared" ref="E50:E59" si="5">+D50-K50</f>
        <v>0</v>
      </c>
      <c r="F50" s="68"/>
      <c r="G50" s="136"/>
      <c r="I50" s="136"/>
      <c r="J50" s="136"/>
      <c r="K50" s="136">
        <f t="shared" ref="K50:K52" si="6">+G50+I50+J50</f>
        <v>0</v>
      </c>
      <c r="L50" s="21" t="s">
        <v>114</v>
      </c>
      <c r="M50" s="71"/>
      <c r="N50" s="71"/>
    </row>
    <row r="51" spans="1:15" ht="14.25">
      <c r="A51" s="74">
        <f t="shared" si="1"/>
        <v>22</v>
      </c>
      <c r="B51" s="853" t="s">
        <v>886</v>
      </c>
      <c r="C51" s="851" t="s">
        <v>887</v>
      </c>
      <c r="D51" s="852">
        <v>2482590.7000000002</v>
      </c>
      <c r="E51" s="99">
        <f t="shared" si="5"/>
        <v>0</v>
      </c>
      <c r="F51" s="68"/>
      <c r="G51" s="136"/>
      <c r="I51" s="136">
        <f>D51</f>
        <v>2482590.7000000002</v>
      </c>
      <c r="J51" s="136"/>
      <c r="K51" s="136">
        <f t="shared" si="6"/>
        <v>2482590.7000000002</v>
      </c>
      <c r="L51" s="21" t="s">
        <v>907</v>
      </c>
      <c r="M51" s="71"/>
      <c r="N51" s="71"/>
    </row>
    <row r="52" spans="1:15" ht="14.25">
      <c r="A52" s="74">
        <f t="shared" si="1"/>
        <v>23</v>
      </c>
      <c r="B52" s="853" t="s">
        <v>888</v>
      </c>
      <c r="C52" s="851" t="s">
        <v>889</v>
      </c>
      <c r="D52" s="852">
        <v>194217.95</v>
      </c>
      <c r="E52" s="99">
        <f t="shared" si="5"/>
        <v>0</v>
      </c>
      <c r="F52" s="68"/>
      <c r="G52" s="105"/>
      <c r="I52" s="105">
        <f>D52</f>
        <v>194217.95</v>
      </c>
      <c r="J52" s="105"/>
      <c r="K52" s="136">
        <f t="shared" si="6"/>
        <v>194217.95</v>
      </c>
      <c r="L52" s="21" t="s">
        <v>595</v>
      </c>
      <c r="M52" s="71"/>
      <c r="N52" s="71"/>
    </row>
    <row r="53" spans="1:15" ht="14.25">
      <c r="A53" s="74">
        <f t="shared" si="1"/>
        <v>24</v>
      </c>
      <c r="B53" s="853" t="s">
        <v>890</v>
      </c>
      <c r="C53" s="851" t="s">
        <v>891</v>
      </c>
      <c r="D53" s="852">
        <v>0</v>
      </c>
      <c r="E53" s="99">
        <f t="shared" si="5"/>
        <v>0</v>
      </c>
      <c r="F53" s="68"/>
      <c r="G53" s="105"/>
      <c r="I53" s="105"/>
      <c r="J53" s="105"/>
      <c r="K53" s="136">
        <f>J53</f>
        <v>0</v>
      </c>
      <c r="L53" s="21" t="s">
        <v>114</v>
      </c>
      <c r="M53" s="71"/>
      <c r="N53" s="71"/>
    </row>
    <row r="54" spans="1:15" ht="14.25">
      <c r="A54" s="74">
        <f t="shared" si="1"/>
        <v>25</v>
      </c>
      <c r="B54" s="853" t="s">
        <v>892</v>
      </c>
      <c r="C54" s="851" t="s">
        <v>893</v>
      </c>
      <c r="D54" s="852">
        <v>0</v>
      </c>
      <c r="E54" s="99">
        <f t="shared" si="5"/>
        <v>0</v>
      </c>
      <c r="F54" s="68"/>
      <c r="G54" s="105"/>
      <c r="I54" s="105"/>
      <c r="J54" s="105"/>
      <c r="K54" s="136">
        <f>J54</f>
        <v>0</v>
      </c>
      <c r="L54" s="21"/>
      <c r="M54" s="71"/>
      <c r="N54" s="71"/>
    </row>
    <row r="55" spans="1:15" ht="14.25">
      <c r="A55" s="74">
        <f t="shared" si="1"/>
        <v>26</v>
      </c>
      <c r="B55" s="853" t="s">
        <v>894</v>
      </c>
      <c r="C55" s="851" t="s">
        <v>895</v>
      </c>
      <c r="D55" s="852">
        <v>0</v>
      </c>
      <c r="E55" s="99">
        <f t="shared" si="5"/>
        <v>0</v>
      </c>
      <c r="F55" s="68"/>
      <c r="G55" s="105"/>
      <c r="I55" s="105"/>
      <c r="J55" s="105"/>
      <c r="K55" s="136">
        <f>J55</f>
        <v>0</v>
      </c>
      <c r="L55" s="21" t="s">
        <v>114</v>
      </c>
      <c r="M55" s="71"/>
      <c r="N55" s="71"/>
    </row>
    <row r="56" spans="1:15" ht="14.25">
      <c r="A56" s="74">
        <f t="shared" si="1"/>
        <v>27</v>
      </c>
      <c r="B56" s="853" t="s">
        <v>896</v>
      </c>
      <c r="C56" s="851" t="s">
        <v>897</v>
      </c>
      <c r="D56" s="852">
        <v>0</v>
      </c>
      <c r="E56" s="99">
        <f t="shared" si="5"/>
        <v>0</v>
      </c>
      <c r="F56" s="68"/>
      <c r="G56" s="105"/>
      <c r="I56" s="105"/>
      <c r="J56" s="105"/>
      <c r="K56" s="136"/>
      <c r="L56" s="21" t="s">
        <v>114</v>
      </c>
      <c r="M56" s="71"/>
      <c r="N56" s="71"/>
    </row>
    <row r="57" spans="1:15" ht="14.25">
      <c r="A57" s="74">
        <f t="shared" si="1"/>
        <v>28</v>
      </c>
      <c r="B57" s="853" t="s">
        <v>898</v>
      </c>
      <c r="C57" s="851" t="s">
        <v>899</v>
      </c>
      <c r="D57" s="852">
        <v>97203580.879999995</v>
      </c>
      <c r="E57" s="99">
        <f t="shared" si="5"/>
        <v>0</v>
      </c>
      <c r="F57" s="68"/>
      <c r="G57" s="105"/>
      <c r="I57" s="105"/>
      <c r="J57" s="105">
        <f>D57</f>
        <v>97203580.879999995</v>
      </c>
      <c r="K57" s="136">
        <f>J57</f>
        <v>97203580.879999995</v>
      </c>
      <c r="L57" s="21" t="s">
        <v>908</v>
      </c>
      <c r="M57" s="71"/>
      <c r="N57" s="71"/>
    </row>
    <row r="58" spans="1:15" ht="14.25">
      <c r="A58" s="74">
        <f t="shared" si="1"/>
        <v>29</v>
      </c>
      <c r="B58" s="853" t="s">
        <v>900</v>
      </c>
      <c r="C58" s="851" t="s">
        <v>901</v>
      </c>
      <c r="D58" s="852">
        <v>0</v>
      </c>
      <c r="E58" s="99">
        <f t="shared" si="5"/>
        <v>0</v>
      </c>
      <c r="F58" s="68"/>
      <c r="G58" s="105"/>
      <c r="I58" s="105"/>
      <c r="J58" s="105"/>
      <c r="K58" s="136"/>
      <c r="L58" s="21" t="s">
        <v>114</v>
      </c>
      <c r="M58" s="71"/>
      <c r="N58" s="71"/>
    </row>
    <row r="59" spans="1:15" ht="13.5" customHeight="1">
      <c r="A59" s="74">
        <f t="shared" si="1"/>
        <v>30</v>
      </c>
      <c r="B59" s="853" t="s">
        <v>902</v>
      </c>
      <c r="C59" s="851" t="s">
        <v>903</v>
      </c>
      <c r="D59" s="852">
        <v>-97203580.879999995</v>
      </c>
      <c r="E59" s="99">
        <f t="shared" si="5"/>
        <v>-97203580.879999995</v>
      </c>
      <c r="F59" s="68"/>
      <c r="G59" s="105"/>
      <c r="I59" s="105"/>
      <c r="J59" s="105"/>
      <c r="K59" s="136">
        <f>G59</f>
        <v>0</v>
      </c>
      <c r="L59" s="21" t="s">
        <v>1005</v>
      </c>
      <c r="M59" s="71"/>
      <c r="N59" s="71"/>
    </row>
    <row r="60" spans="1:15" ht="15" thickBot="1">
      <c r="A60" s="74">
        <f t="shared" si="1"/>
        <v>31</v>
      </c>
      <c r="B60" s="853"/>
      <c r="C60" s="851"/>
      <c r="D60" s="852"/>
      <c r="E60" s="99"/>
      <c r="F60" s="68"/>
      <c r="G60" s="105"/>
      <c r="I60" s="105"/>
      <c r="J60" s="105"/>
      <c r="K60" s="136"/>
      <c r="L60" s="21"/>
      <c r="M60" s="71"/>
      <c r="N60" s="71"/>
    </row>
    <row r="61" spans="1:15" ht="14.25">
      <c r="A61" s="74"/>
      <c r="B61" s="139"/>
      <c r="C61" s="33" t="s">
        <v>503</v>
      </c>
      <c r="D61" s="854">
        <f>SUM(D39:D60)</f>
        <v>6969431.2300000191</v>
      </c>
      <c r="E61" s="221">
        <f>SUM(E39:E60)</f>
        <v>-247279154.64999998</v>
      </c>
      <c r="F61" s="68"/>
      <c r="G61" s="144">
        <f>SUM(G39:G60)</f>
        <v>0</v>
      </c>
      <c r="I61" s="144">
        <f>SUM(I39:I60)</f>
        <v>4916565.1500000004</v>
      </c>
      <c r="J61" s="144">
        <f>SUM(J39:J60)</f>
        <v>249332020.72999999</v>
      </c>
      <c r="K61" s="144">
        <f>SUM(K39:K60)</f>
        <v>254248585.87999997</v>
      </c>
      <c r="L61"/>
      <c r="M61" s="71"/>
      <c r="N61" s="71"/>
    </row>
    <row r="62" spans="1:15">
      <c r="A62" s="74"/>
      <c r="K62" s="145"/>
      <c r="L62"/>
      <c r="M62" s="71"/>
      <c r="N62" s="71"/>
    </row>
    <row r="63" spans="1:15">
      <c r="A63" s="74"/>
      <c r="B63"/>
      <c r="C63"/>
      <c r="D63"/>
      <c r="E63"/>
      <c r="F63"/>
      <c r="G63"/>
      <c r="H63"/>
      <c r="I63"/>
      <c r="J63"/>
      <c r="K63"/>
      <c r="L63"/>
      <c r="M63" s="21"/>
      <c r="N63" s="21"/>
      <c r="O63"/>
    </row>
    <row r="64" spans="1:15" ht="18">
      <c r="A64" s="74"/>
      <c r="B64" s="1514" t="str">
        <f>"Prepayments Account 165 - Balance @ 12/31/"&amp;D66&amp;""</f>
        <v>Prepayments Account 165 - Balance @ 12/31/2019</v>
      </c>
      <c r="C64" s="1514"/>
      <c r="D64" s="1514"/>
      <c r="E64" s="1514"/>
      <c r="F64" s="1514"/>
      <c r="G64" s="1514"/>
      <c r="H64" s="1514"/>
      <c r="I64" s="1514"/>
      <c r="J64" s="1514"/>
      <c r="K64" s="80"/>
      <c r="L64" s="81"/>
      <c r="M64" s="71"/>
      <c r="N64" s="21"/>
      <c r="O64"/>
    </row>
    <row r="65" spans="1:15">
      <c r="A65" s="74"/>
      <c r="B65" s="234"/>
      <c r="C65" s="235"/>
      <c r="D65" s="236"/>
      <c r="E65" s="10"/>
      <c r="F65" s="68"/>
      <c r="G65" s="10" t="s">
        <v>87</v>
      </c>
      <c r="I65" s="8" t="s">
        <v>115</v>
      </c>
      <c r="J65" s="8" t="s">
        <v>115</v>
      </c>
      <c r="K65" s="8" t="s">
        <v>179</v>
      </c>
      <c r="L65"/>
      <c r="M65" s="71"/>
      <c r="N65" s="21"/>
      <c r="O65"/>
    </row>
    <row r="66" spans="1:15">
      <c r="A66" s="74"/>
      <c r="B66" s="234"/>
      <c r="C66" s="237"/>
      <c r="D66" s="8" t="str">
        <f>""&amp;TCOS!L4-1</f>
        <v>2019</v>
      </c>
      <c r="E66" s="8" t="s">
        <v>530</v>
      </c>
      <c r="F66" s="68"/>
      <c r="G66" s="8" t="s">
        <v>115</v>
      </c>
      <c r="I66" s="8" t="s">
        <v>523</v>
      </c>
      <c r="J66" s="8" t="s">
        <v>161</v>
      </c>
      <c r="K66" s="8" t="s">
        <v>180</v>
      </c>
      <c r="L66"/>
      <c r="M66" s="71"/>
      <c r="N66" s="21"/>
      <c r="O66"/>
    </row>
    <row r="67" spans="1:15">
      <c r="A67" s="74">
        <f>A60+1</f>
        <v>32</v>
      </c>
      <c r="B67" s="13" t="s">
        <v>90</v>
      </c>
      <c r="C67" s="13" t="s">
        <v>167</v>
      </c>
      <c r="D67" s="13" t="s">
        <v>88</v>
      </c>
      <c r="E67" s="13" t="s">
        <v>502</v>
      </c>
      <c r="F67" s="68"/>
      <c r="G67" s="13" t="s">
        <v>524</v>
      </c>
      <c r="I67" s="13" t="s">
        <v>524</v>
      </c>
      <c r="J67" s="13" t="s">
        <v>524</v>
      </c>
      <c r="K67" s="13" t="s">
        <v>525</v>
      </c>
      <c r="L67" s="13" t="s">
        <v>39</v>
      </c>
      <c r="M67" s="71"/>
      <c r="N67" s="21"/>
      <c r="O67"/>
    </row>
    <row r="68" spans="1:15">
      <c r="A68" s="74"/>
      <c r="B68" s="139"/>
      <c r="C68" s="141"/>
      <c r="D68" s="141"/>
      <c r="E68" s="141"/>
      <c r="F68" s="68"/>
      <c r="G68" s="141"/>
      <c r="I68" s="141"/>
      <c r="J68" s="141"/>
      <c r="K68" s="141"/>
      <c r="L68"/>
      <c r="M68" s="71"/>
      <c r="N68" s="21"/>
      <c r="O68"/>
    </row>
    <row r="69" spans="1:15" ht="14.25">
      <c r="A69" s="74">
        <f>+A67+1</f>
        <v>33</v>
      </c>
      <c r="B69" s="850" t="s">
        <v>871</v>
      </c>
      <c r="C69" s="851" t="s">
        <v>872</v>
      </c>
      <c r="D69" s="852">
        <v>2719264.16</v>
      </c>
      <c r="E69" s="99">
        <f>+D69-K69</f>
        <v>0</v>
      </c>
      <c r="F69" s="68"/>
      <c r="G69" s="105"/>
      <c r="I69" s="105">
        <f>+D69</f>
        <v>2719264.16</v>
      </c>
      <c r="J69" s="105"/>
      <c r="K69" s="105">
        <f t="shared" ref="K69:K84" si="7">+G69+I69+J69</f>
        <v>2719264.16</v>
      </c>
      <c r="L69" t="s">
        <v>531</v>
      </c>
      <c r="M69" s="71"/>
      <c r="N69" s="21"/>
      <c r="O69"/>
    </row>
    <row r="70" spans="1:15" ht="14.25">
      <c r="A70" s="74">
        <f t="shared" ref="A70:A91" si="8">+A69+1</f>
        <v>34</v>
      </c>
      <c r="B70" s="853">
        <v>165000218</v>
      </c>
      <c r="C70" s="851" t="s">
        <v>873</v>
      </c>
      <c r="D70" s="852">
        <v>0</v>
      </c>
      <c r="E70" s="99">
        <f t="shared" ref="E70:E91" si="9">+D70-K70</f>
        <v>0</v>
      </c>
      <c r="F70" s="68"/>
      <c r="G70" s="105"/>
      <c r="I70" s="105"/>
      <c r="J70" s="105"/>
      <c r="K70" s="105">
        <f t="shared" si="7"/>
        <v>0</v>
      </c>
      <c r="M70" s="71"/>
      <c r="N70" s="21"/>
      <c r="O70"/>
    </row>
    <row r="71" spans="1:15" ht="14.25">
      <c r="A71" s="74">
        <f t="shared" si="8"/>
        <v>35</v>
      </c>
      <c r="B71" s="853">
        <v>165000219</v>
      </c>
      <c r="C71" s="851" t="s">
        <v>873</v>
      </c>
      <c r="D71" s="852">
        <v>1685883.03</v>
      </c>
      <c r="E71" s="99">
        <f t="shared" si="9"/>
        <v>1685883.03</v>
      </c>
      <c r="F71" s="68"/>
      <c r="G71" s="105"/>
      <c r="I71" s="105">
        <v>0</v>
      </c>
      <c r="J71" s="105"/>
      <c r="K71" s="105">
        <f t="shared" si="7"/>
        <v>0</v>
      </c>
      <c r="L71" s="68" t="s">
        <v>1352</v>
      </c>
      <c r="M71" s="71"/>
      <c r="N71" s="21"/>
      <c r="O71"/>
    </row>
    <row r="72" spans="1:15" ht="14.25">
      <c r="A72" s="74">
        <f t="shared" si="8"/>
        <v>36</v>
      </c>
      <c r="B72" s="853">
        <v>165000220</v>
      </c>
      <c r="C72" s="851" t="s">
        <v>873</v>
      </c>
      <c r="D72" s="852">
        <v>679378.08</v>
      </c>
      <c r="E72" s="99">
        <f t="shared" si="9"/>
        <v>679378.08</v>
      </c>
      <c r="F72" s="68"/>
      <c r="G72" s="105"/>
      <c r="I72" s="105"/>
      <c r="J72" s="105"/>
      <c r="K72" s="105">
        <f t="shared" si="7"/>
        <v>0</v>
      </c>
      <c r="L72" s="68" t="s">
        <v>994</v>
      </c>
      <c r="M72" s="71"/>
      <c r="N72" s="21"/>
      <c r="O72"/>
    </row>
    <row r="73" spans="1:15" ht="14.25">
      <c r="A73" s="74">
        <f t="shared" si="8"/>
        <v>37</v>
      </c>
      <c r="B73" s="1302" t="s">
        <v>874</v>
      </c>
      <c r="C73" s="851" t="s">
        <v>875</v>
      </c>
      <c r="D73" s="852">
        <v>23399</v>
      </c>
      <c r="E73" s="99">
        <f t="shared" si="9"/>
        <v>23399</v>
      </c>
      <c r="F73" s="68"/>
      <c r="G73" s="105"/>
      <c r="I73" s="105"/>
      <c r="J73" s="105"/>
      <c r="K73" s="105">
        <f t="shared" si="7"/>
        <v>0</v>
      </c>
      <c r="L73" s="6" t="s">
        <v>875</v>
      </c>
      <c r="M73" s="71"/>
      <c r="N73" s="21"/>
      <c r="O73"/>
    </row>
    <row r="74" spans="1:15" ht="14.25">
      <c r="A74" s="74">
        <f t="shared" si="8"/>
        <v>38</v>
      </c>
      <c r="B74" s="850" t="s">
        <v>876</v>
      </c>
      <c r="C74" s="851" t="s">
        <v>877</v>
      </c>
      <c r="D74" s="852">
        <v>640678.97</v>
      </c>
      <c r="E74" s="99">
        <f t="shared" si="9"/>
        <v>640678.97</v>
      </c>
      <c r="F74" s="68"/>
      <c r="G74" s="136"/>
      <c r="I74" s="136"/>
      <c r="J74" s="136"/>
      <c r="K74" s="136">
        <f t="shared" si="7"/>
        <v>0</v>
      </c>
      <c r="L74" s="21" t="s">
        <v>1003</v>
      </c>
      <c r="M74" s="71"/>
      <c r="N74" s="21"/>
      <c r="O74"/>
    </row>
    <row r="75" spans="1:15" ht="14.25">
      <c r="A75" s="74">
        <f t="shared" si="8"/>
        <v>39</v>
      </c>
      <c r="B75" s="850" t="s">
        <v>878</v>
      </c>
      <c r="C75" s="851" t="s">
        <v>879</v>
      </c>
      <c r="D75" s="852">
        <v>116224.12</v>
      </c>
      <c r="E75" s="99">
        <f t="shared" si="9"/>
        <v>116224.12</v>
      </c>
      <c r="F75" s="68"/>
      <c r="G75" s="105"/>
      <c r="I75" s="105"/>
      <c r="J75" s="105"/>
      <c r="K75" s="136">
        <f t="shared" si="7"/>
        <v>0</v>
      </c>
      <c r="L75" s="21" t="s">
        <v>904</v>
      </c>
      <c r="M75" s="71"/>
      <c r="N75" s="21"/>
      <c r="O75"/>
    </row>
    <row r="76" spans="1:15" ht="14.25">
      <c r="A76" s="74">
        <f t="shared" si="8"/>
        <v>40</v>
      </c>
      <c r="B76" s="1302" t="s">
        <v>992</v>
      </c>
      <c r="C76" s="851" t="s">
        <v>993</v>
      </c>
      <c r="D76" s="852">
        <v>0</v>
      </c>
      <c r="E76" s="99">
        <f t="shared" si="9"/>
        <v>0</v>
      </c>
      <c r="F76" s="68"/>
      <c r="G76" s="105"/>
      <c r="I76" s="105"/>
      <c r="J76" s="105"/>
      <c r="K76" s="136">
        <f t="shared" si="7"/>
        <v>0</v>
      </c>
      <c r="L76" s="5" t="s">
        <v>995</v>
      </c>
      <c r="M76" s="71"/>
      <c r="N76" s="21"/>
      <c r="O76"/>
    </row>
    <row r="77" spans="1:15" ht="14.25">
      <c r="A77" s="74">
        <f t="shared" si="8"/>
        <v>41</v>
      </c>
      <c r="B77" s="1241" t="s">
        <v>880</v>
      </c>
      <c r="C77" s="851" t="s">
        <v>905</v>
      </c>
      <c r="D77" s="852">
        <v>153607511.75999999</v>
      </c>
      <c r="E77" s="99">
        <f t="shared" si="9"/>
        <v>0</v>
      </c>
      <c r="F77" s="68"/>
      <c r="G77" s="105"/>
      <c r="I77" s="105"/>
      <c r="J77" s="105">
        <f>D77</f>
        <v>153607511.75999999</v>
      </c>
      <c r="K77" s="136">
        <f t="shared" si="7"/>
        <v>153607511.75999999</v>
      </c>
      <c r="L77" s="5" t="s">
        <v>1004</v>
      </c>
      <c r="M77" s="71"/>
      <c r="N77" s="21"/>
      <c r="O77"/>
    </row>
    <row r="78" spans="1:15" ht="14.25">
      <c r="A78" s="74">
        <f t="shared" si="8"/>
        <v>42</v>
      </c>
      <c r="B78" s="1241" t="s">
        <v>882</v>
      </c>
      <c r="C78" s="851" t="s">
        <v>883</v>
      </c>
      <c r="D78" s="852">
        <v>-153607511.75999999</v>
      </c>
      <c r="E78" s="99">
        <f t="shared" si="9"/>
        <v>-153607511.75999999</v>
      </c>
      <c r="F78" s="68"/>
      <c r="G78" s="136"/>
      <c r="I78" s="136"/>
      <c r="J78" s="136"/>
      <c r="K78" s="136">
        <f t="shared" si="7"/>
        <v>0</v>
      </c>
      <c r="L78" s="21" t="s">
        <v>1005</v>
      </c>
      <c r="M78" s="71"/>
      <c r="N78" s="21"/>
      <c r="O78"/>
    </row>
    <row r="79" spans="1:15" ht="14.25">
      <c r="A79" s="74">
        <f t="shared" si="8"/>
        <v>43</v>
      </c>
      <c r="B79" s="1241">
        <v>165001216</v>
      </c>
      <c r="C79" s="851" t="s">
        <v>881</v>
      </c>
      <c r="D79" s="852"/>
      <c r="E79" s="99">
        <f t="shared" si="9"/>
        <v>0</v>
      </c>
      <c r="F79" s="68"/>
      <c r="G79" s="136"/>
      <c r="I79" s="136"/>
      <c r="J79" s="136"/>
      <c r="K79" s="136">
        <f t="shared" si="7"/>
        <v>0</v>
      </c>
      <c r="L79" s="21"/>
      <c r="M79" s="71"/>
      <c r="N79" s="21"/>
      <c r="O79"/>
    </row>
    <row r="80" spans="1:15" ht="14.25">
      <c r="A80" s="74">
        <f t="shared" si="8"/>
        <v>44</v>
      </c>
      <c r="B80" s="853">
        <v>165001218</v>
      </c>
      <c r="C80" s="851" t="s">
        <v>881</v>
      </c>
      <c r="D80" s="852">
        <v>0</v>
      </c>
      <c r="E80" s="99">
        <f t="shared" si="9"/>
        <v>0</v>
      </c>
      <c r="F80" s="68"/>
      <c r="G80" s="136"/>
      <c r="I80" s="136"/>
      <c r="J80" s="136"/>
      <c r="K80" s="136">
        <f t="shared" si="7"/>
        <v>0</v>
      </c>
      <c r="L80" s="21" t="s">
        <v>906</v>
      </c>
      <c r="M80" s="71"/>
      <c r="N80" s="21"/>
      <c r="O80"/>
    </row>
    <row r="81" spans="1:15" ht="14.25">
      <c r="A81" s="74">
        <f t="shared" si="8"/>
        <v>45</v>
      </c>
      <c r="B81" s="853">
        <v>165001219</v>
      </c>
      <c r="C81" s="851" t="s">
        <v>881</v>
      </c>
      <c r="D81" s="852">
        <v>11276</v>
      </c>
      <c r="E81" s="99">
        <f t="shared" si="9"/>
        <v>11276</v>
      </c>
      <c r="F81" s="68"/>
      <c r="G81" s="136"/>
      <c r="I81" s="136"/>
      <c r="J81" s="136"/>
      <c r="K81" s="136">
        <f t="shared" si="7"/>
        <v>0</v>
      </c>
      <c r="M81" s="71"/>
      <c r="N81" s="21"/>
      <c r="O81"/>
    </row>
    <row r="82" spans="1:15" ht="14.25">
      <c r="A82" s="74">
        <f t="shared" si="8"/>
        <v>46</v>
      </c>
      <c r="B82" s="853" t="s">
        <v>884</v>
      </c>
      <c r="C82" s="851" t="s">
        <v>885</v>
      </c>
      <c r="D82" s="852"/>
      <c r="E82" s="99">
        <f t="shared" si="9"/>
        <v>0</v>
      </c>
      <c r="F82" s="68"/>
      <c r="G82" s="136"/>
      <c r="I82" s="136"/>
      <c r="J82" s="136"/>
      <c r="K82" s="136">
        <f t="shared" si="7"/>
        <v>0</v>
      </c>
      <c r="L82" s="21" t="s">
        <v>114</v>
      </c>
      <c r="M82" s="71"/>
      <c r="N82" s="21"/>
      <c r="O82"/>
    </row>
    <row r="83" spans="1:15" ht="14.25">
      <c r="A83" s="74">
        <f t="shared" si="8"/>
        <v>47</v>
      </c>
      <c r="B83" s="853" t="s">
        <v>886</v>
      </c>
      <c r="C83" s="851" t="s">
        <v>887</v>
      </c>
      <c r="D83" s="852">
        <v>2565164.89</v>
      </c>
      <c r="E83" s="99">
        <f t="shared" si="9"/>
        <v>0</v>
      </c>
      <c r="F83" s="68"/>
      <c r="G83" s="136"/>
      <c r="I83" s="136">
        <f>D83</f>
        <v>2565164.89</v>
      </c>
      <c r="J83" s="136"/>
      <c r="K83" s="136">
        <f t="shared" si="7"/>
        <v>2565164.89</v>
      </c>
      <c r="L83" s="21" t="s">
        <v>907</v>
      </c>
      <c r="M83" s="71"/>
      <c r="N83" s="21"/>
      <c r="O83"/>
    </row>
    <row r="84" spans="1:15" ht="14.25">
      <c r="A84" s="74">
        <f t="shared" si="8"/>
        <v>48</v>
      </c>
      <c r="B84" s="853" t="s">
        <v>888</v>
      </c>
      <c r="C84" s="851" t="s">
        <v>889</v>
      </c>
      <c r="D84" s="852">
        <v>34269.4</v>
      </c>
      <c r="E84" s="99">
        <f t="shared" si="9"/>
        <v>0</v>
      </c>
      <c r="F84" s="68"/>
      <c r="G84" s="105"/>
      <c r="I84" s="105">
        <f>D84</f>
        <v>34269.4</v>
      </c>
      <c r="J84" s="105"/>
      <c r="K84" s="136">
        <f t="shared" si="7"/>
        <v>34269.4</v>
      </c>
      <c r="L84" s="21" t="s">
        <v>595</v>
      </c>
      <c r="M84" s="71"/>
      <c r="N84" s="21"/>
      <c r="O84"/>
    </row>
    <row r="85" spans="1:15" ht="14.25">
      <c r="A85" s="74">
        <f t="shared" si="8"/>
        <v>49</v>
      </c>
      <c r="B85" s="853" t="s">
        <v>890</v>
      </c>
      <c r="C85" s="851" t="s">
        <v>891</v>
      </c>
      <c r="D85" s="852"/>
      <c r="E85" s="99">
        <f t="shared" si="9"/>
        <v>0</v>
      </c>
      <c r="F85" s="68"/>
      <c r="G85" s="105"/>
      <c r="I85" s="105"/>
      <c r="J85" s="105"/>
      <c r="K85" s="136">
        <f>J85</f>
        <v>0</v>
      </c>
      <c r="L85" s="21" t="s">
        <v>114</v>
      </c>
      <c r="M85" s="71"/>
      <c r="N85" s="21"/>
      <c r="O85"/>
    </row>
    <row r="86" spans="1:15" ht="14.25">
      <c r="A86" s="74">
        <f>A85+1</f>
        <v>50</v>
      </c>
      <c r="B86" s="853" t="s">
        <v>892</v>
      </c>
      <c r="C86" s="851" t="s">
        <v>893</v>
      </c>
      <c r="D86" s="852"/>
      <c r="E86" s="99">
        <f t="shared" si="9"/>
        <v>0</v>
      </c>
      <c r="F86" s="68"/>
      <c r="G86" s="105"/>
      <c r="I86" s="105"/>
      <c r="J86" s="105"/>
      <c r="K86" s="136">
        <f>J86</f>
        <v>0</v>
      </c>
      <c r="L86" s="21"/>
      <c r="M86" s="71"/>
      <c r="N86" s="21"/>
      <c r="O86"/>
    </row>
    <row r="87" spans="1:15" ht="14.25">
      <c r="A87" s="74">
        <f>A86+1</f>
        <v>51</v>
      </c>
      <c r="B87" s="853" t="s">
        <v>894</v>
      </c>
      <c r="C87" s="851" t="s">
        <v>895</v>
      </c>
      <c r="D87" s="852"/>
      <c r="E87" s="99">
        <f t="shared" si="9"/>
        <v>0</v>
      </c>
      <c r="F87" s="68"/>
      <c r="G87" s="105"/>
      <c r="I87" s="105"/>
      <c r="J87" s="105"/>
      <c r="K87" s="136">
        <f>J87</f>
        <v>0</v>
      </c>
      <c r="L87" s="21" t="s">
        <v>114</v>
      </c>
      <c r="M87" s="71"/>
      <c r="N87" s="21"/>
      <c r="O87"/>
    </row>
    <row r="88" spans="1:15" ht="14.25">
      <c r="A88" s="74">
        <f>A87+1</f>
        <v>52</v>
      </c>
      <c r="B88" s="853" t="s">
        <v>896</v>
      </c>
      <c r="C88" s="851" t="s">
        <v>897</v>
      </c>
      <c r="D88" s="852"/>
      <c r="E88" s="99">
        <f t="shared" si="9"/>
        <v>0</v>
      </c>
      <c r="F88" s="68"/>
      <c r="G88" s="105"/>
      <c r="I88" s="105"/>
      <c r="J88" s="105"/>
      <c r="K88" s="136"/>
      <c r="L88" s="21" t="s">
        <v>114</v>
      </c>
      <c r="M88" s="71"/>
      <c r="N88" s="21"/>
      <c r="O88"/>
    </row>
    <row r="89" spans="1:15" ht="14.25">
      <c r="A89" s="74">
        <f>A88+1</f>
        <v>53</v>
      </c>
      <c r="B89" s="853" t="s">
        <v>898</v>
      </c>
      <c r="C89" s="851" t="s">
        <v>899</v>
      </c>
      <c r="D89" s="852">
        <v>80373329.409999996</v>
      </c>
      <c r="E89" s="99">
        <f t="shared" si="9"/>
        <v>0</v>
      </c>
      <c r="F89" s="68"/>
      <c r="G89" s="105"/>
      <c r="I89" s="105"/>
      <c r="J89" s="105">
        <f>D89</f>
        <v>80373329.409999996</v>
      </c>
      <c r="K89" s="136">
        <f>J89</f>
        <v>80373329.409999996</v>
      </c>
      <c r="L89" s="21" t="s">
        <v>908</v>
      </c>
      <c r="M89" s="71"/>
      <c r="N89" s="21"/>
      <c r="O89"/>
    </row>
    <row r="90" spans="1:15" ht="14.25">
      <c r="A90" s="74">
        <f t="shared" si="8"/>
        <v>54</v>
      </c>
      <c r="B90" s="853" t="s">
        <v>900</v>
      </c>
      <c r="C90" s="851" t="s">
        <v>901</v>
      </c>
      <c r="D90" s="852"/>
      <c r="E90" s="99">
        <f t="shared" si="9"/>
        <v>0</v>
      </c>
      <c r="F90" s="68"/>
      <c r="G90" s="105"/>
      <c r="I90" s="105"/>
      <c r="J90" s="105"/>
      <c r="K90" s="136"/>
      <c r="L90" s="21" t="s">
        <v>114</v>
      </c>
      <c r="M90" s="71"/>
      <c r="N90" s="21"/>
      <c r="O90"/>
    </row>
    <row r="91" spans="1:15" ht="14.25">
      <c r="A91" s="74">
        <f t="shared" si="8"/>
        <v>55</v>
      </c>
      <c r="B91" s="853" t="s">
        <v>902</v>
      </c>
      <c r="C91" s="851" t="s">
        <v>903</v>
      </c>
      <c r="D91" s="852">
        <v>-80373329.409999996</v>
      </c>
      <c r="E91" s="99">
        <f t="shared" si="9"/>
        <v>-80373329.409999996</v>
      </c>
      <c r="F91" s="68"/>
      <c r="G91" s="105"/>
      <c r="I91" s="105"/>
      <c r="J91" s="105"/>
      <c r="K91" s="136">
        <f>G91</f>
        <v>0</v>
      </c>
      <c r="L91" s="21" t="s">
        <v>1005</v>
      </c>
      <c r="M91" s="71"/>
      <c r="N91" s="21"/>
      <c r="O91"/>
    </row>
    <row r="92" spans="1:15" ht="14.25">
      <c r="A92" s="74"/>
      <c r="B92" s="853"/>
      <c r="C92" s="851"/>
      <c r="D92" s="852"/>
      <c r="E92" s="136"/>
      <c r="F92" s="68"/>
      <c r="G92" s="105"/>
      <c r="I92" s="105"/>
      <c r="J92" s="105"/>
      <c r="K92" s="136"/>
      <c r="L92" s="21" t="s">
        <v>114</v>
      </c>
      <c r="M92" s="71"/>
      <c r="N92" s="21"/>
      <c r="O92"/>
    </row>
    <row r="93" spans="1:15" ht="13.5" thickBot="1">
      <c r="A93" s="74"/>
      <c r="B93" s="27"/>
      <c r="C93" s="27"/>
      <c r="D93" s="136"/>
      <c r="E93" s="99"/>
      <c r="F93" s="68"/>
      <c r="G93" s="105"/>
      <c r="I93" s="105"/>
      <c r="J93" s="105"/>
      <c r="K93" s="105"/>
      <c r="L93"/>
      <c r="M93" s="71"/>
      <c r="N93" s="21"/>
      <c r="O93"/>
    </row>
    <row r="94" spans="1:15" ht="14.25">
      <c r="A94" s="74"/>
      <c r="B94" s="139"/>
      <c r="C94" s="33" t="s">
        <v>383</v>
      </c>
      <c r="D94" s="854">
        <f>IF(SUM(D69:D93)=0,"",SUM(D69:D93))-1</f>
        <v>8475536.6500000209</v>
      </c>
      <c r="E94" s="221">
        <f>IF(SUM(E69:E93)=0,"",SUM(E69:E93))</f>
        <v>-230824001.97</v>
      </c>
      <c r="F94" s="68"/>
      <c r="G94" s="144" t="str">
        <f>IF(SUM(G69:G93)=0,"",SUM(G69:G93))</f>
        <v/>
      </c>
      <c r="I94" s="144">
        <f>IF(SUM(I69:I93)=0,"",SUM(I69:I93))</f>
        <v>5318698.4500000011</v>
      </c>
      <c r="J94" s="144">
        <f>IF(SUM(J69:J93)=0,"",SUM(J69:J93))</f>
        <v>233980841.16999999</v>
      </c>
      <c r="K94" s="144">
        <f>IF(SUM(K69:K93)=0,"",SUM(K69:K93))</f>
        <v>239299539.61999997</v>
      </c>
      <c r="L94"/>
      <c r="M94" s="71"/>
      <c r="N94" s="21"/>
      <c r="O94"/>
    </row>
    <row r="95" spans="1:15">
      <c r="A95" s="74"/>
      <c r="B95" s="74"/>
      <c r="C95"/>
      <c r="D95"/>
      <c r="E95"/>
      <c r="F95"/>
      <c r="G95"/>
      <c r="H95"/>
      <c r="I95"/>
      <c r="J95"/>
      <c r="K95"/>
      <c r="L95"/>
      <c r="M95" s="21"/>
      <c r="N95" s="21"/>
      <c r="O95"/>
    </row>
    <row r="96" spans="1:15" ht="18.75" customHeight="1">
      <c r="A96" s="74" t="s">
        <v>632</v>
      </c>
      <c r="B96" s="1513" t="s">
        <v>826</v>
      </c>
      <c r="C96" s="1513"/>
      <c r="D96" s="1513"/>
      <c r="E96" s="1513"/>
      <c r="F96" s="1513"/>
      <c r="G96" s="1513"/>
      <c r="H96" s="1513"/>
      <c r="I96" s="1513"/>
      <c r="J96" s="1513"/>
      <c r="K96" s="1513"/>
      <c r="L96" s="1513"/>
      <c r="M96" s="21"/>
      <c r="N96" s="21"/>
      <c r="O96"/>
    </row>
    <row r="97" spans="1:15" ht="18.75" customHeight="1">
      <c r="A97" s="5"/>
      <c r="B97" s="1513"/>
      <c r="C97" s="1513"/>
      <c r="D97" s="1513"/>
      <c r="E97" s="1513"/>
      <c r="F97" s="1513"/>
      <c r="G97" s="1513"/>
      <c r="H97" s="1513"/>
      <c r="I97" s="1513"/>
      <c r="J97" s="1513"/>
      <c r="K97" s="1513"/>
      <c r="L97" s="1513"/>
      <c r="M97" s="21"/>
      <c r="N97" s="21"/>
      <c r="O97"/>
    </row>
    <row r="98" spans="1:15" ht="18">
      <c r="E98" s="894"/>
      <c r="F98" s="894"/>
      <c r="G98" s="894"/>
      <c r="H98" s="894"/>
      <c r="I98" s="894"/>
      <c r="J98" s="894"/>
      <c r="K98" s="894"/>
      <c r="L98" s="81"/>
      <c r="M98" s="71"/>
      <c r="N98" s="71"/>
    </row>
    <row r="99" spans="1:15" ht="12.75" customHeight="1">
      <c r="E99" s="8"/>
      <c r="F99" s="68"/>
      <c r="G99" s="8"/>
      <c r="H99" s="71"/>
      <c r="I99" s="71"/>
    </row>
    <row r="100" spans="1:15">
      <c r="E100" s="8"/>
      <c r="G100" s="8"/>
      <c r="H100" s="21"/>
      <c r="I100" s="21"/>
      <c r="J100"/>
    </row>
    <row r="101" spans="1:15">
      <c r="E101" s="13"/>
      <c r="G101" s="13"/>
      <c r="H101" s="21"/>
      <c r="I101" s="21"/>
      <c r="J101"/>
    </row>
    <row r="102" spans="1:15">
      <c r="E102"/>
      <c r="F102"/>
      <c r="G102"/>
      <c r="H102"/>
      <c r="I102"/>
      <c r="J102"/>
      <c r="K102"/>
      <c r="L102"/>
      <c r="M102" s="21"/>
      <c r="N102" s="21"/>
      <c r="O102"/>
    </row>
    <row r="103" spans="1:15">
      <c r="E103"/>
      <c r="F103"/>
      <c r="G103"/>
      <c r="H103"/>
      <c r="I103"/>
      <c r="J103"/>
      <c r="K103"/>
      <c r="L103"/>
      <c r="M103" s="21"/>
      <c r="N103" s="21"/>
      <c r="O103"/>
    </row>
    <row r="104" spans="1:15">
      <c r="E104"/>
      <c r="F104"/>
      <c r="G104"/>
      <c r="H104"/>
      <c r="I104"/>
      <c r="J104"/>
      <c r="K104"/>
      <c r="L104"/>
      <c r="M104" s="21"/>
      <c r="N104" s="21"/>
      <c r="O104"/>
    </row>
    <row r="105" spans="1:15">
      <c r="A105"/>
      <c r="B105"/>
      <c r="C105"/>
      <c r="D105"/>
      <c r="E105"/>
      <c r="F105"/>
      <c r="G105"/>
      <c r="H105"/>
      <c r="I105"/>
      <c r="J105"/>
      <c r="K105"/>
      <c r="L105"/>
      <c r="M105" s="21"/>
      <c r="N105" s="21"/>
      <c r="O105"/>
    </row>
    <row r="106" spans="1:15">
      <c r="A106"/>
      <c r="B106"/>
      <c r="C106"/>
      <c r="D106"/>
      <c r="E106"/>
      <c r="F106"/>
      <c r="G106"/>
      <c r="H106"/>
      <c r="I106"/>
      <c r="J106"/>
      <c r="K106"/>
      <c r="L106"/>
      <c r="M106" s="21"/>
      <c r="N106" s="21"/>
      <c r="O106"/>
    </row>
    <row r="107" spans="1:15">
      <c r="A107"/>
      <c r="B107"/>
      <c r="C107"/>
      <c r="D107"/>
      <c r="E107"/>
      <c r="F107"/>
      <c r="G107"/>
      <c r="H107"/>
      <c r="I107"/>
      <c r="J107"/>
      <c r="K107"/>
      <c r="L107"/>
      <c r="M107" s="21"/>
      <c r="N107" s="21"/>
      <c r="O107"/>
    </row>
    <row r="108" spans="1:15">
      <c r="A108"/>
      <c r="B108"/>
      <c r="C108"/>
      <c r="D108"/>
      <c r="E108"/>
      <c r="F108"/>
      <c r="G108"/>
      <c r="H108"/>
      <c r="I108"/>
      <c r="J108"/>
      <c r="K108"/>
      <c r="L108"/>
      <c r="M108" s="21"/>
      <c r="N108" s="21"/>
      <c r="O108"/>
    </row>
    <row r="109" spans="1:15">
      <c r="A109"/>
      <c r="B109"/>
      <c r="C109"/>
      <c r="D109"/>
      <c r="E109"/>
      <c r="F109"/>
      <c r="G109"/>
      <c r="H109"/>
      <c r="I109"/>
      <c r="J109"/>
      <c r="K109"/>
      <c r="L109"/>
      <c r="M109" s="21"/>
      <c r="N109" s="21"/>
      <c r="O109"/>
    </row>
    <row r="110" spans="1:15">
      <c r="A110"/>
      <c r="B110"/>
      <c r="C110"/>
      <c r="D110"/>
      <c r="E110"/>
      <c r="F110"/>
      <c r="G110"/>
      <c r="H110"/>
      <c r="I110"/>
      <c r="J110"/>
      <c r="K110"/>
      <c r="L110"/>
      <c r="M110" s="21"/>
      <c r="N110" s="21"/>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row r="127" spans="1:15">
      <c r="A127"/>
      <c r="B127"/>
      <c r="C127"/>
      <c r="D127"/>
      <c r="E127"/>
      <c r="F127"/>
      <c r="G127"/>
      <c r="H127"/>
      <c r="I127"/>
      <c r="J127"/>
      <c r="K127"/>
      <c r="L127"/>
      <c r="M127"/>
      <c r="N127"/>
      <c r="O127"/>
    </row>
    <row r="128" spans="1:15">
      <c r="A128"/>
      <c r="B128"/>
      <c r="C128"/>
      <c r="D128"/>
      <c r="E128"/>
      <c r="F128"/>
      <c r="G128"/>
      <c r="H128"/>
      <c r="I128"/>
      <c r="J128"/>
      <c r="K128"/>
      <c r="L128"/>
      <c r="M128"/>
      <c r="N128"/>
      <c r="O128"/>
    </row>
    <row r="129" spans="1:15">
      <c r="A129"/>
      <c r="B129"/>
      <c r="C129"/>
      <c r="D129"/>
      <c r="E129"/>
      <c r="F129"/>
      <c r="G129"/>
      <c r="H129"/>
      <c r="I129"/>
      <c r="J129"/>
      <c r="K129"/>
      <c r="L129"/>
      <c r="M129"/>
      <c r="N129"/>
      <c r="O129"/>
    </row>
    <row r="130" spans="1:15">
      <c r="A130"/>
      <c r="B130"/>
      <c r="C130"/>
      <c r="D130"/>
      <c r="E130"/>
      <c r="F130"/>
      <c r="G130"/>
      <c r="H130"/>
      <c r="I130"/>
      <c r="J130"/>
      <c r="K130"/>
      <c r="L130"/>
      <c r="M130"/>
      <c r="N130"/>
      <c r="O130"/>
    </row>
    <row r="131" spans="1:15">
      <c r="A131"/>
      <c r="B131"/>
      <c r="C131"/>
      <c r="D131"/>
      <c r="E131"/>
      <c r="F131"/>
      <c r="G131"/>
      <c r="H131"/>
      <c r="I131"/>
      <c r="J131"/>
      <c r="K131"/>
      <c r="L131"/>
      <c r="M131"/>
      <c r="N131"/>
      <c r="O131"/>
    </row>
    <row r="132" spans="1:15">
      <c r="A132"/>
      <c r="B132"/>
      <c r="C132"/>
      <c r="D132"/>
      <c r="E132"/>
      <c r="F132"/>
      <c r="G132"/>
      <c r="H132"/>
      <c r="I132"/>
      <c r="J132"/>
      <c r="K132"/>
      <c r="L132"/>
      <c r="M132"/>
      <c r="N132"/>
      <c r="O132"/>
    </row>
    <row r="133" spans="1:15">
      <c r="A133"/>
      <c r="B133"/>
      <c r="C133"/>
      <c r="D133"/>
      <c r="E133"/>
      <c r="F133"/>
      <c r="G133"/>
      <c r="H133"/>
      <c r="I133"/>
      <c r="J133"/>
      <c r="K133"/>
      <c r="L133"/>
      <c r="M133"/>
      <c r="N133"/>
      <c r="O133"/>
    </row>
    <row r="134" spans="1:15">
      <c r="A134"/>
      <c r="B134"/>
      <c r="C134"/>
      <c r="D134"/>
      <c r="E134"/>
      <c r="F134"/>
      <c r="G134"/>
      <c r="H134"/>
      <c r="I134"/>
      <c r="J134"/>
      <c r="K134"/>
      <c r="L134"/>
      <c r="M134"/>
      <c r="N134"/>
      <c r="O134"/>
    </row>
    <row r="135" spans="1:15">
      <c r="A135"/>
      <c r="B135"/>
      <c r="C135"/>
      <c r="D135"/>
      <c r="E135"/>
      <c r="F135"/>
      <c r="G135"/>
      <c r="H135"/>
      <c r="I135"/>
      <c r="J135"/>
      <c r="K135"/>
      <c r="L135"/>
      <c r="M135"/>
      <c r="N135"/>
      <c r="O135"/>
    </row>
    <row r="136" spans="1:15">
      <c r="A136"/>
      <c r="B136"/>
      <c r="C136"/>
      <c r="D136"/>
      <c r="E136"/>
      <c r="F136"/>
      <c r="G136"/>
      <c r="H136"/>
      <c r="I136"/>
      <c r="J136"/>
      <c r="K136"/>
      <c r="L136"/>
      <c r="M136"/>
      <c r="N136"/>
      <c r="O136"/>
    </row>
    <row r="137" spans="1:15">
      <c r="A137"/>
      <c r="B137"/>
      <c r="C137"/>
      <c r="D137"/>
      <c r="E137"/>
      <c r="F137"/>
      <c r="G137"/>
      <c r="H137"/>
      <c r="I137"/>
      <c r="J137"/>
      <c r="K137"/>
      <c r="L137"/>
      <c r="M137"/>
      <c r="N137"/>
      <c r="O137"/>
    </row>
    <row r="138" spans="1:15">
      <c r="A138"/>
      <c r="B138"/>
      <c r="C138"/>
      <c r="D138"/>
      <c r="E138"/>
      <c r="F138"/>
      <c r="G138"/>
      <c r="H138"/>
      <c r="I138"/>
      <c r="J138"/>
      <c r="K138"/>
      <c r="L138"/>
      <c r="M138"/>
      <c r="N138"/>
      <c r="O138"/>
    </row>
    <row r="139" spans="1:15">
      <c r="A139"/>
      <c r="B139"/>
      <c r="C139"/>
      <c r="D139"/>
      <c r="E139"/>
      <c r="F139"/>
      <c r="G139"/>
      <c r="H139"/>
      <c r="I139"/>
      <c r="J139"/>
      <c r="K139"/>
      <c r="L139"/>
      <c r="M139"/>
      <c r="N139"/>
      <c r="O139"/>
    </row>
    <row r="140" spans="1:15">
      <c r="A140"/>
      <c r="B140"/>
      <c r="C140"/>
      <c r="D140"/>
      <c r="E140"/>
      <c r="F140"/>
      <c r="G140"/>
      <c r="H140"/>
      <c r="I140"/>
      <c r="J140"/>
      <c r="K140"/>
      <c r="L140"/>
      <c r="M140"/>
      <c r="N140"/>
      <c r="O140"/>
    </row>
  </sheetData>
  <mergeCells count="12">
    <mergeCell ref="B10:K10"/>
    <mergeCell ref="A3:L3"/>
    <mergeCell ref="A4:L4"/>
    <mergeCell ref="A5:L5"/>
    <mergeCell ref="A6:L6"/>
    <mergeCell ref="B96:L97"/>
    <mergeCell ref="B64:J64"/>
    <mergeCell ref="B24:K24"/>
    <mergeCell ref="E12:E13"/>
    <mergeCell ref="I12:I13"/>
    <mergeCell ref="B34:J34"/>
    <mergeCell ref="G12:G13"/>
  </mergeCells>
  <phoneticPr fontId="4" type="noConversion"/>
  <pageMargins left="1.08" right="0.75" top="1" bottom="0.41" header="0.86" footer="0.27"/>
  <pageSetup scale="38"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8"/>
  <sheetViews>
    <sheetView topLeftCell="A4" zoomScaleNormal="100" zoomScaleSheetLayoutView="100" workbookViewId="0">
      <selection activeCell="C14" sqref="C14"/>
    </sheetView>
  </sheetViews>
  <sheetFormatPr defaultColWidth="8.85546875" defaultRowHeight="12.75"/>
  <cols>
    <col min="1" max="1" width="9.42578125" style="424" bestFit="1" customWidth="1"/>
    <col min="2" max="2" width="65.140625" style="332" bestFit="1" customWidth="1"/>
    <col min="3" max="3" width="12.5703125" style="332" bestFit="1" customWidth="1"/>
    <col min="4" max="4" width="1.5703125" style="332" customWidth="1"/>
    <col min="5" max="5" width="15" style="332" bestFit="1" customWidth="1"/>
    <col min="6" max="16384" width="8.85546875" style="332"/>
  </cols>
  <sheetData>
    <row r="1" spans="1:15" ht="15.75">
      <c r="A1" s="893" t="s">
        <v>114</v>
      </c>
    </row>
    <row r="2" spans="1:15" ht="15.75">
      <c r="A2" s="893" t="s">
        <v>114</v>
      </c>
    </row>
    <row r="3" spans="1:15" ht="15">
      <c r="A3" s="1520" t="str">
        <f>+'WS C  - Working Capital'!A3:L3</f>
        <v>AEP East Companies</v>
      </c>
      <c r="B3" s="1520"/>
      <c r="C3" s="1520"/>
      <c r="D3" s="1520"/>
      <c r="E3" s="1520"/>
      <c r="F3" s="529"/>
      <c r="G3" s="529"/>
      <c r="H3" s="529"/>
      <c r="I3" s="529"/>
      <c r="J3" s="529"/>
      <c r="K3" s="529"/>
      <c r="L3" s="529"/>
      <c r="M3" s="529"/>
      <c r="N3" s="529"/>
      <c r="O3" s="529"/>
    </row>
    <row r="4" spans="1:15" ht="15">
      <c r="A4" s="1521" t="str">
        <f>"Cost of Service Formula Rate Using Actual/Projected FF1 Balances"</f>
        <v>Cost of Service Formula Rate Using Actual/Projected FF1 Balances</v>
      </c>
      <c r="B4" s="1521"/>
      <c r="C4" s="1521"/>
      <c r="D4" s="1521"/>
      <c r="E4" s="1521"/>
      <c r="F4" s="530"/>
      <c r="G4" s="530"/>
      <c r="H4" s="530"/>
      <c r="I4" s="530"/>
      <c r="J4" s="530"/>
      <c r="K4" s="530"/>
      <c r="L4" s="530"/>
      <c r="M4" s="531"/>
      <c r="N4" s="531"/>
      <c r="O4" s="531"/>
    </row>
    <row r="5" spans="1:15" ht="15">
      <c r="A5" s="1521" t="s">
        <v>227</v>
      </c>
      <c r="B5" s="1521"/>
      <c r="C5" s="1521"/>
      <c r="D5" s="1521"/>
      <c r="E5" s="1521"/>
      <c r="F5" s="530"/>
      <c r="G5" s="530"/>
      <c r="H5" s="530"/>
      <c r="I5" s="530"/>
      <c r="J5" s="530"/>
      <c r="K5" s="530"/>
      <c r="L5" s="530"/>
      <c r="M5" s="530"/>
      <c r="N5" s="530"/>
      <c r="O5" s="530"/>
    </row>
    <row r="6" spans="1:15" ht="15">
      <c r="A6" s="1522" t="str">
        <f>TCOS!F9</f>
        <v>Appalachian Power Company</v>
      </c>
      <c r="B6" s="1522"/>
      <c r="C6" s="1522"/>
      <c r="D6" s="1522"/>
      <c r="E6" s="1522"/>
      <c r="F6" s="328"/>
      <c r="G6" s="328"/>
      <c r="H6" s="328"/>
      <c r="I6" s="328"/>
      <c r="J6" s="328"/>
      <c r="K6" s="328"/>
      <c r="L6" s="328"/>
      <c r="M6" s="328"/>
      <c r="N6" s="328"/>
      <c r="O6" s="328"/>
    </row>
    <row r="8" spans="1:15">
      <c r="A8" s="532" t="s">
        <v>169</v>
      </c>
      <c r="B8" s="533" t="s">
        <v>162</v>
      </c>
      <c r="C8" s="533" t="s">
        <v>163</v>
      </c>
    </row>
    <row r="9" spans="1:15">
      <c r="A9" s="532" t="s">
        <v>106</v>
      </c>
      <c r="B9" s="532" t="s">
        <v>167</v>
      </c>
      <c r="C9" s="532">
        <f>+TCOS!L4</f>
        <v>2020</v>
      </c>
    </row>
    <row r="10" spans="1:15">
      <c r="A10" s="534"/>
      <c r="B10" s="535"/>
      <c r="C10" s="533"/>
      <c r="F10" s="413"/>
    </row>
    <row r="11" spans="1:15">
      <c r="A11" s="424">
        <v>1</v>
      </c>
      <c r="B11" s="1118" t="str">
        <f>"Net Funds from IPP Customers 12/31/"&amp;TCOS!L4-1&amp;" ("&amp;TCOS!L4&amp;" FORM 1, P269)"</f>
        <v>Net Funds from IPP Customers 12/31/2019 (2020 FORM 1, P269)</v>
      </c>
      <c r="C11" s="849">
        <v>-3199750</v>
      </c>
      <c r="D11" s="413"/>
      <c r="F11" s="413"/>
    </row>
    <row r="12" spans="1:15">
      <c r="B12" s="577"/>
      <c r="C12" s="855"/>
      <c r="D12" s="413"/>
      <c r="F12" s="413"/>
    </row>
    <row r="13" spans="1:15">
      <c r="A13" s="424">
        <v>2</v>
      </c>
      <c r="B13" s="1118" t="s">
        <v>71</v>
      </c>
      <c r="C13" s="849">
        <v>-132979</v>
      </c>
      <c r="D13" s="413"/>
      <c r="F13" s="413"/>
    </row>
    <row r="14" spans="1:15">
      <c r="B14" s="1118"/>
      <c r="C14" s="855"/>
      <c r="D14" s="413"/>
      <c r="F14" s="413"/>
    </row>
    <row r="15" spans="1:15">
      <c r="A15" s="424">
        <f>+A13+1</f>
        <v>3</v>
      </c>
      <c r="B15" s="1118" t="s">
        <v>72</v>
      </c>
      <c r="C15" s="849">
        <v>0</v>
      </c>
      <c r="D15" s="413"/>
      <c r="F15" s="413"/>
    </row>
    <row r="16" spans="1:15">
      <c r="B16" s="1118"/>
      <c r="C16" s="855"/>
      <c r="D16" s="413"/>
      <c r="F16" s="413"/>
    </row>
    <row r="17" spans="1:6">
      <c r="A17" s="424">
        <f>+A15+1</f>
        <v>4</v>
      </c>
      <c r="B17" s="1119" t="s">
        <v>228</v>
      </c>
      <c r="C17" s="855"/>
      <c r="D17" s="413"/>
      <c r="F17" s="413"/>
    </row>
    <row r="18" spans="1:6">
      <c r="A18" s="424">
        <f>+A17+1</f>
        <v>5</v>
      </c>
      <c r="B18" s="1118" t="s">
        <v>73</v>
      </c>
      <c r="C18" s="849">
        <v>0</v>
      </c>
      <c r="D18" s="413"/>
      <c r="F18" s="413"/>
    </row>
    <row r="19" spans="1:6">
      <c r="A19" s="424">
        <f>+A18+1</f>
        <v>6</v>
      </c>
      <c r="B19" s="1111" t="s">
        <v>114</v>
      </c>
      <c r="C19" s="856">
        <v>0</v>
      </c>
      <c r="D19" s="413"/>
      <c r="F19" s="413"/>
    </row>
    <row r="20" spans="1:6">
      <c r="B20" s="577"/>
      <c r="C20" s="857"/>
      <c r="D20" s="413"/>
      <c r="F20" s="413"/>
    </row>
    <row r="21" spans="1:6">
      <c r="A21" s="424">
        <f>+A19+1</f>
        <v>7</v>
      </c>
      <c r="B21" s="1118" t="str">
        <f>"Net Funds from IPP Customers 12/31/"&amp;TCOS!L4&amp;" ("&amp;TCOS!L4&amp;" FORM 1, P269)"</f>
        <v>Net Funds from IPP Customers 12/31/2020 (2020 FORM 1, P269)</v>
      </c>
      <c r="C21" s="537">
        <f>+C11+C13+C15+C18+C19</f>
        <v>-3332729</v>
      </c>
      <c r="D21" s="538"/>
      <c r="F21" s="413"/>
    </row>
    <row r="22" spans="1:6">
      <c r="B22" s="577"/>
      <c r="C22" s="537"/>
      <c r="D22" s="413"/>
      <c r="F22" s="413"/>
    </row>
    <row r="23" spans="1:6">
      <c r="A23" s="424">
        <f>+A21+1</f>
        <v>8</v>
      </c>
      <c r="B23" s="1118" t="str">
        <f>"Average Balance for Year as Indicated in Column B ((ln "&amp;A11&amp;" + ln "&amp;A21&amp;")/2)"</f>
        <v>Average Balance for Year as Indicated in Column B ((ln 1 + ln 7)/2)</v>
      </c>
      <c r="C23" s="539">
        <f>AVERAGE(C21,C11)</f>
        <v>-3266239.5</v>
      </c>
      <c r="D23" s="413"/>
      <c r="F23" s="413"/>
    </row>
    <row r="24" spans="1:6">
      <c r="B24" s="577"/>
      <c r="D24" s="413"/>
    </row>
    <row r="25" spans="1:6">
      <c r="B25" s="370"/>
      <c r="C25" s="540"/>
      <c r="D25" s="413"/>
    </row>
    <row r="26" spans="1:6" ht="15">
      <c r="A26" s="320" t="s">
        <v>499</v>
      </c>
      <c r="B26" s="1483" t="str">
        <f>"On this worksheet Company Records refers to  "&amp;A6&amp;"'s general ledger."</f>
        <v>On this worksheet Company Records refers to  Appalachian Power Company's general ledger.</v>
      </c>
      <c r="D26" s="413"/>
    </row>
    <row r="27" spans="1:6">
      <c r="B27" s="1519"/>
      <c r="D27" s="413"/>
    </row>
    <row r="28" spans="1:6">
      <c r="B28" s="541"/>
      <c r="D28" s="413"/>
    </row>
    <row r="29" spans="1:6">
      <c r="D29" s="413"/>
    </row>
    <row r="30" spans="1:6">
      <c r="D30" s="413"/>
    </row>
    <row r="31" spans="1:6">
      <c r="D31" s="413"/>
    </row>
    <row r="32" spans="1:6">
      <c r="D32" s="542"/>
    </row>
    <row r="33" spans="1:4">
      <c r="D33" s="413"/>
    </row>
    <row r="34" spans="1:4">
      <c r="D34" s="413"/>
    </row>
    <row r="35" spans="1:4">
      <c r="D35" s="413"/>
    </row>
    <row r="36" spans="1:4">
      <c r="A36" s="534"/>
      <c r="B36" s="413"/>
      <c r="C36" s="413"/>
      <c r="D36" s="413"/>
    </row>
    <row r="37" spans="1:4">
      <c r="A37" s="534"/>
      <c r="B37" s="413"/>
      <c r="C37" s="413"/>
    </row>
    <row r="38" spans="1:4">
      <c r="C38" s="543"/>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151"/>
  <sheetViews>
    <sheetView view="pageBreakPreview" topLeftCell="A10" zoomScaleNormal="100" zoomScaleSheetLayoutView="100" workbookViewId="0">
      <selection activeCell="K19" sqref="K19"/>
    </sheetView>
  </sheetViews>
  <sheetFormatPr defaultColWidth="9.140625" defaultRowHeight="15"/>
  <cols>
    <col min="1" max="1" width="9.42578125" style="544" customWidth="1"/>
    <col min="2" max="2" width="6.5703125" style="544" customWidth="1"/>
    <col min="3" max="8" width="14.5703125" style="544" customWidth="1"/>
    <col min="9" max="9" width="14.85546875" style="544" bestFit="1" customWidth="1"/>
    <col min="10" max="11" width="16.5703125" style="544" bestFit="1" customWidth="1"/>
    <col min="12" max="13" width="22.140625" style="544" bestFit="1" customWidth="1"/>
    <col min="14" max="14" width="8.42578125" style="544" customWidth="1"/>
    <col min="15" max="38" width="12.5703125" style="544" customWidth="1"/>
    <col min="39" max="16384" width="9.140625" style="544"/>
  </cols>
  <sheetData>
    <row r="1" spans="1:22" ht="15.75">
      <c r="A1" s="893" t="s">
        <v>114</v>
      </c>
    </row>
    <row r="2" spans="1:22" ht="15.75">
      <c r="A2" s="893" t="s">
        <v>114</v>
      </c>
    </row>
    <row r="3" spans="1:22">
      <c r="A3" s="1520" t="str">
        <f>+'WS C  - Working Capital'!A3:L3</f>
        <v>AEP East Companies</v>
      </c>
      <c r="B3" s="1520"/>
      <c r="C3" s="1520"/>
      <c r="D3" s="1520"/>
      <c r="E3" s="1520"/>
      <c r="F3" s="1520"/>
      <c r="G3" s="1520"/>
      <c r="H3" s="1520"/>
      <c r="I3" s="1520"/>
      <c r="J3" s="1520"/>
      <c r="K3" s="1520"/>
      <c r="L3" s="529"/>
      <c r="M3" s="529"/>
      <c r="N3" s="529"/>
      <c r="O3" s="529"/>
    </row>
    <row r="4" spans="1:22">
      <c r="A4" s="1521" t="str">
        <f>"Cost of Service Formula Rate Using Actual/Projected FF1 Balances"</f>
        <v>Cost of Service Formula Rate Using Actual/Projected FF1 Balances</v>
      </c>
      <c r="B4" s="1521"/>
      <c r="C4" s="1521"/>
      <c r="D4" s="1521"/>
      <c r="E4" s="1521"/>
      <c r="F4" s="1521"/>
      <c r="G4" s="1521"/>
      <c r="H4" s="1521"/>
      <c r="I4" s="1521"/>
      <c r="J4" s="1521"/>
      <c r="K4" s="1521"/>
      <c r="L4" s="531"/>
      <c r="M4" s="531"/>
      <c r="N4" s="531"/>
      <c r="O4" s="531"/>
    </row>
    <row r="5" spans="1:22">
      <c r="A5" s="1521" t="s">
        <v>237</v>
      </c>
      <c r="B5" s="1521"/>
      <c r="C5" s="1521"/>
      <c r="D5" s="1521"/>
      <c r="E5" s="1521"/>
      <c r="F5" s="1521"/>
      <c r="G5" s="1521"/>
      <c r="H5" s="1521"/>
      <c r="I5" s="1521"/>
      <c r="J5" s="1521"/>
      <c r="K5" s="1521"/>
      <c r="L5" s="530"/>
      <c r="M5" s="530"/>
      <c r="N5" s="530"/>
      <c r="O5" s="530"/>
    </row>
    <row r="6" spans="1:22">
      <c r="A6" s="1522" t="str">
        <f>TCOS!F9</f>
        <v>Appalachian Power Company</v>
      </c>
      <c r="B6" s="1522"/>
      <c r="C6" s="1522"/>
      <c r="D6" s="1522"/>
      <c r="E6" s="1522"/>
      <c r="F6" s="1522"/>
      <c r="G6" s="1522"/>
      <c r="H6" s="1522"/>
      <c r="I6" s="1522"/>
      <c r="J6" s="1522"/>
      <c r="K6" s="1522"/>
      <c r="L6" s="328"/>
      <c r="M6" s="328"/>
      <c r="N6" s="328"/>
      <c r="O6" s="328"/>
    </row>
    <row r="7" spans="1:22">
      <c r="A7" s="545"/>
      <c r="B7" s="545"/>
      <c r="C7" s="545"/>
      <c r="D7" s="545"/>
      <c r="E7" s="545"/>
      <c r="F7" s="545"/>
      <c r="G7" s="545"/>
      <c r="H7" s="545"/>
      <c r="I7" s="545"/>
      <c r="J7" s="545"/>
      <c r="K7" s="545"/>
      <c r="L7" s="545"/>
      <c r="M7" s="545"/>
      <c r="N7" s="545"/>
      <c r="O7" s="545"/>
    </row>
    <row r="8" spans="1:22" ht="18">
      <c r="A8" s="1525"/>
      <c r="B8" s="1525"/>
      <c r="C8" s="1525"/>
      <c r="D8" s="1525"/>
      <c r="E8" s="1525"/>
      <c r="F8" s="1525"/>
      <c r="G8" s="1525"/>
      <c r="H8" s="1525"/>
      <c r="I8" s="1525"/>
      <c r="J8" s="1525"/>
      <c r="K8" s="1525"/>
      <c r="L8" s="547"/>
      <c r="M8" s="548"/>
    </row>
    <row r="9" spans="1:22" ht="18">
      <c r="A9" s="546"/>
      <c r="B9" s="546"/>
      <c r="C9" s="546"/>
      <c r="D9" s="546"/>
      <c r="E9" s="546"/>
      <c r="F9" s="546"/>
      <c r="G9" s="546"/>
      <c r="H9" s="546"/>
      <c r="I9" s="546"/>
      <c r="J9" s="546"/>
      <c r="K9" s="546"/>
      <c r="L9" s="547"/>
      <c r="M9" s="548"/>
    </row>
    <row r="10" spans="1:22" ht="15.75">
      <c r="A10" s="549" t="s">
        <v>169</v>
      </c>
      <c r="B10" s="547"/>
      <c r="C10" s="550"/>
      <c r="D10" s="550"/>
      <c r="E10" s="550"/>
      <c r="F10" s="550"/>
      <c r="G10" s="551"/>
      <c r="H10" s="551"/>
      <c r="I10" s="549" t="s">
        <v>182</v>
      </c>
      <c r="J10" s="549" t="s">
        <v>28</v>
      </c>
      <c r="K10" s="552"/>
      <c r="N10" s="553"/>
      <c r="P10" s="553"/>
      <c r="R10" s="553"/>
      <c r="S10" s="553"/>
      <c r="T10" s="553"/>
      <c r="U10" s="517"/>
      <c r="V10" s="517"/>
    </row>
    <row r="11" spans="1:22" ht="15.75">
      <c r="A11" s="549" t="s">
        <v>106</v>
      </c>
      <c r="B11" s="1526" t="s">
        <v>167</v>
      </c>
      <c r="C11" s="1526"/>
      <c r="D11" s="1526"/>
      <c r="E11" s="1526"/>
      <c r="F11" s="1526"/>
      <c r="G11" s="1526"/>
      <c r="H11" s="1526"/>
      <c r="I11" s="554" t="s">
        <v>183</v>
      </c>
      <c r="J11" s="554" t="s">
        <v>115</v>
      </c>
      <c r="K11" s="554" t="s">
        <v>115</v>
      </c>
      <c r="L11" s="555"/>
      <c r="M11" s="555"/>
      <c r="N11" s="553"/>
      <c r="O11" s="553"/>
      <c r="P11" s="553"/>
      <c r="Q11" s="553"/>
      <c r="R11" s="553"/>
      <c r="S11" s="553"/>
      <c r="T11" s="556"/>
      <c r="U11" s="517"/>
      <c r="V11" s="517"/>
    </row>
    <row r="12" spans="1:22" ht="15.75">
      <c r="A12" s="551"/>
      <c r="B12" s="557"/>
      <c r="C12" s="547"/>
      <c r="D12" s="551"/>
      <c r="E12" s="551"/>
      <c r="F12" s="551"/>
      <c r="G12" s="551"/>
      <c r="H12" s="551"/>
      <c r="I12" s="551"/>
      <c r="J12" s="551"/>
      <c r="K12" s="558"/>
      <c r="L12" s="555"/>
      <c r="M12" s="555"/>
      <c r="N12" s="553"/>
      <c r="O12" s="553"/>
      <c r="P12" s="553"/>
      <c r="Q12" s="553"/>
      <c r="R12" s="553"/>
      <c r="S12" s="553"/>
      <c r="T12" s="556"/>
      <c r="U12" s="517"/>
      <c r="V12" s="517"/>
    </row>
    <row r="13" spans="1:22" s="565" customFormat="1" ht="12.75">
      <c r="A13" s="559">
        <v>1</v>
      </c>
      <c r="B13" s="560" t="s">
        <v>482</v>
      </c>
      <c r="C13" s="541"/>
      <c r="D13" s="561"/>
      <c r="E13" s="561"/>
      <c r="F13" s="561"/>
      <c r="G13" s="561"/>
      <c r="H13" s="561"/>
      <c r="I13" s="858">
        <v>4470846.79</v>
      </c>
      <c r="J13" s="562">
        <f>+I13-K12</f>
        <v>4470846.79</v>
      </c>
      <c r="K13" s="858"/>
      <c r="L13" s="563"/>
      <c r="M13" s="563"/>
      <c r="N13" s="541"/>
      <c r="O13" s="541"/>
      <c r="P13" s="541"/>
      <c r="Q13" s="541"/>
      <c r="R13" s="541"/>
      <c r="S13" s="541"/>
      <c r="T13" s="564"/>
      <c r="U13" s="541"/>
      <c r="V13" s="541"/>
    </row>
    <row r="14" spans="1:22" s="565" customFormat="1" ht="12.75">
      <c r="A14" s="566"/>
      <c r="B14" s="567"/>
      <c r="C14" s="568"/>
      <c r="D14" s="569"/>
      <c r="E14" s="569"/>
      <c r="F14" s="569"/>
      <c r="G14" s="569"/>
      <c r="H14" s="561"/>
      <c r="I14" s="570"/>
      <c r="J14" s="571"/>
      <c r="K14" s="570"/>
      <c r="L14" s="563"/>
      <c r="M14" s="563"/>
      <c r="N14" s="541"/>
      <c r="O14" s="541"/>
      <c r="P14" s="541"/>
      <c r="Q14" s="541"/>
      <c r="R14" s="541"/>
      <c r="S14" s="541"/>
      <c r="T14" s="564"/>
      <c r="U14" s="541"/>
      <c r="V14" s="541"/>
    </row>
    <row r="15" spans="1:22" s="565" customFormat="1" ht="12.75">
      <c r="A15" s="559">
        <f>+A13+1</f>
        <v>2</v>
      </c>
      <c r="B15" s="572" t="s">
        <v>483</v>
      </c>
      <c r="C15" s="541"/>
      <c r="D15" s="561"/>
      <c r="E15" s="561"/>
      <c r="F15" s="561"/>
      <c r="G15" s="561"/>
      <c r="H15" s="561"/>
      <c r="I15" s="858">
        <v>1896615.1099999999</v>
      </c>
      <c r="J15" s="562">
        <f>+I15-K15</f>
        <v>1566761.18</v>
      </c>
      <c r="K15" s="858">
        <v>329853.93</v>
      </c>
      <c r="L15" s="563"/>
      <c r="M15" s="563"/>
      <c r="N15" s="541"/>
      <c r="O15" s="541"/>
      <c r="P15" s="541"/>
      <c r="Q15" s="541"/>
      <c r="R15" s="541"/>
      <c r="S15" s="541"/>
      <c r="T15" s="541"/>
      <c r="U15" s="541"/>
      <c r="V15" s="541"/>
    </row>
    <row r="16" spans="1:22" s="565" customFormat="1" ht="12.75">
      <c r="A16" s="566"/>
      <c r="B16" s="573"/>
      <c r="C16" s="568"/>
      <c r="D16" s="569"/>
      <c r="E16" s="569"/>
      <c r="F16" s="569"/>
      <c r="G16" s="569"/>
      <c r="H16" s="561"/>
      <c r="I16" s="571"/>
      <c r="J16" s="571"/>
      <c r="K16" s="571"/>
      <c r="L16" s="563"/>
      <c r="M16" s="563"/>
      <c r="N16" s="541"/>
      <c r="O16" s="541"/>
      <c r="P16" s="541"/>
      <c r="Q16" s="541"/>
      <c r="R16" s="541"/>
      <c r="S16" s="541"/>
      <c r="T16" s="541"/>
      <c r="U16" s="541"/>
      <c r="V16" s="541"/>
    </row>
    <row r="17" spans="1:22" s="565" customFormat="1" ht="12.75">
      <c r="A17" s="559">
        <f>+A15+1</f>
        <v>3</v>
      </c>
      <c r="B17" s="572" t="s">
        <v>484</v>
      </c>
      <c r="C17" s="541"/>
      <c r="D17" s="561"/>
      <c r="E17" s="561"/>
      <c r="F17" s="561"/>
      <c r="G17" s="561"/>
      <c r="H17" s="561"/>
      <c r="I17" s="858">
        <v>24503540.789999999</v>
      </c>
      <c r="J17" s="562">
        <f>+I17-K17</f>
        <v>21337391.329999998</v>
      </c>
      <c r="K17" s="858">
        <v>3166149.46</v>
      </c>
      <c r="L17" s="563"/>
      <c r="M17" s="563"/>
      <c r="N17" s="541"/>
      <c r="O17" s="541"/>
      <c r="P17" s="541"/>
      <c r="Q17" s="541"/>
      <c r="R17" s="541"/>
      <c r="S17" s="541"/>
      <c r="T17" s="541"/>
      <c r="U17" s="541"/>
      <c r="V17" s="541"/>
    </row>
    <row r="18" spans="1:22" s="565" customFormat="1" ht="12.75">
      <c r="A18" s="566"/>
      <c r="B18" s="571"/>
      <c r="C18" s="577"/>
      <c r="D18" s="571"/>
      <c r="E18" s="571"/>
      <c r="F18" s="571"/>
      <c r="G18" s="574"/>
      <c r="H18" s="571"/>
      <c r="I18" s="571"/>
      <c r="J18" s="571"/>
      <c r="K18" s="571"/>
      <c r="L18" s="563"/>
      <c r="M18" s="563"/>
      <c r="N18" s="541"/>
      <c r="O18" s="541"/>
      <c r="P18" s="541"/>
      <c r="Q18" s="541"/>
      <c r="R18" s="541"/>
      <c r="S18" s="541"/>
      <c r="T18" s="541"/>
      <c r="U18" s="541"/>
      <c r="V18" s="541"/>
    </row>
    <row r="19" spans="1:22" s="565" customFormat="1" ht="12.75">
      <c r="A19" s="559">
        <f>+A17+1</f>
        <v>4</v>
      </c>
      <c r="B19" s="560" t="s">
        <v>762</v>
      </c>
      <c r="C19" s="577"/>
      <c r="D19" s="571"/>
      <c r="E19" s="571"/>
      <c r="F19" s="571"/>
      <c r="G19" s="574"/>
      <c r="H19" s="571"/>
      <c r="I19" s="858">
        <v>7924270.1200000001</v>
      </c>
      <c r="J19" s="562">
        <f>+I19-K19</f>
        <v>5512801.0199999996</v>
      </c>
      <c r="K19" s="858">
        <v>2411469.1</v>
      </c>
      <c r="L19" s="563"/>
      <c r="M19" s="563"/>
      <c r="N19" s="576"/>
      <c r="O19" s="541"/>
      <c r="P19" s="541"/>
      <c r="Q19" s="541"/>
      <c r="R19" s="541"/>
      <c r="S19" s="541"/>
      <c r="T19" s="541"/>
      <c r="U19" s="541"/>
      <c r="V19" s="541"/>
    </row>
    <row r="20" spans="1:22" s="565" customFormat="1" ht="12.75">
      <c r="A20" s="566"/>
      <c r="B20" s="560"/>
      <c r="C20" s="577"/>
      <c r="D20" s="571"/>
      <c r="E20" s="571"/>
      <c r="F20" s="571"/>
      <c r="G20" s="574"/>
      <c r="H20" s="571"/>
      <c r="I20" s="541"/>
      <c r="J20" s="541"/>
      <c r="K20" s="541"/>
      <c r="L20" s="577"/>
      <c r="M20" s="563"/>
      <c r="N20" s="576"/>
      <c r="O20" s="541"/>
      <c r="P20" s="541"/>
      <c r="Q20" s="541"/>
      <c r="R20" s="541"/>
      <c r="S20" s="541"/>
      <c r="T20" s="541"/>
      <c r="U20" s="541"/>
      <c r="V20" s="541"/>
    </row>
    <row r="21" spans="1:22" s="565" customFormat="1" ht="12.75">
      <c r="A21" s="559">
        <f>+A19+1</f>
        <v>5</v>
      </c>
      <c r="B21" s="560" t="s">
        <v>763</v>
      </c>
      <c r="C21" s="577"/>
      <c r="D21" s="571"/>
      <c r="E21" s="571"/>
      <c r="F21" s="571"/>
      <c r="G21" s="574"/>
      <c r="H21" s="571"/>
      <c r="I21" s="858">
        <v>137349683.06999996</v>
      </c>
      <c r="J21" s="562">
        <f>+I21-K21</f>
        <v>137349683.06999996</v>
      </c>
      <c r="K21" s="858">
        <v>0</v>
      </c>
      <c r="L21" s="563"/>
      <c r="M21" s="563"/>
      <c r="N21" s="576"/>
      <c r="O21" s="541"/>
      <c r="P21" s="541"/>
      <c r="Q21" s="541"/>
      <c r="R21" s="541"/>
      <c r="S21" s="541"/>
      <c r="T21" s="541"/>
      <c r="U21" s="541"/>
      <c r="V21" s="541"/>
    </row>
    <row r="22" spans="1:22" s="565" customFormat="1" ht="12.75">
      <c r="A22" s="559"/>
      <c r="B22" s="560"/>
      <c r="C22" s="577"/>
      <c r="D22" s="571"/>
      <c r="E22" s="571"/>
      <c r="F22" s="571"/>
      <c r="G22" s="574"/>
      <c r="H22" s="571"/>
      <c r="I22" s="892"/>
      <c r="J22" s="562"/>
      <c r="K22" s="892"/>
      <c r="L22" s="563"/>
      <c r="M22" s="563"/>
      <c r="N22" s="576"/>
      <c r="O22" s="541"/>
      <c r="P22" s="541"/>
      <c r="Q22" s="541"/>
      <c r="R22" s="541"/>
      <c r="S22" s="541"/>
      <c r="T22" s="541"/>
      <c r="U22" s="541"/>
      <c r="V22" s="541"/>
    </row>
    <row r="23" spans="1:22" s="565" customFormat="1" ht="12.75">
      <c r="A23" s="559" t="s">
        <v>623</v>
      </c>
      <c r="B23" s="560" t="s">
        <v>626</v>
      </c>
      <c r="C23" s="577"/>
      <c r="D23" s="571"/>
      <c r="E23" s="571"/>
      <c r="F23" s="571"/>
      <c r="G23" s="574"/>
      <c r="H23" s="571"/>
      <c r="I23" s="858"/>
      <c r="J23" s="562">
        <v>0</v>
      </c>
      <c r="K23" s="858"/>
      <c r="L23" s="563"/>
      <c r="M23" s="563"/>
      <c r="N23" s="576"/>
      <c r="O23" s="541"/>
      <c r="P23" s="541"/>
      <c r="Q23" s="541"/>
      <c r="R23" s="541"/>
      <c r="S23" s="541"/>
      <c r="T23" s="541"/>
      <c r="U23" s="541"/>
      <c r="V23" s="541"/>
    </row>
    <row r="24" spans="1:22" s="565" customFormat="1" ht="12.75">
      <c r="A24" s="559"/>
      <c r="B24" s="560"/>
      <c r="C24" s="577"/>
      <c r="D24" s="571"/>
      <c r="E24" s="571"/>
      <c r="F24" s="571"/>
      <c r="G24" s="574"/>
      <c r="H24" s="571"/>
      <c r="I24" s="892"/>
      <c r="J24" s="562"/>
      <c r="K24" s="892"/>
      <c r="L24" s="563"/>
      <c r="M24" s="563"/>
      <c r="N24" s="576"/>
      <c r="O24" s="541"/>
      <c r="P24" s="541"/>
      <c r="Q24" s="541"/>
      <c r="R24" s="541"/>
      <c r="S24" s="541"/>
      <c r="T24" s="541"/>
      <c r="U24" s="541"/>
      <c r="V24" s="541"/>
    </row>
    <row r="25" spans="1:22" s="565" customFormat="1" ht="12.75">
      <c r="A25" s="559" t="s">
        <v>624</v>
      </c>
      <c r="B25" s="560" t="s">
        <v>625</v>
      </c>
      <c r="C25" s="577"/>
      <c r="D25" s="571"/>
      <c r="E25" s="571"/>
      <c r="F25" s="571"/>
      <c r="G25" s="574"/>
      <c r="H25" s="571"/>
      <c r="I25" s="858"/>
      <c r="J25" s="562">
        <v>0</v>
      </c>
      <c r="K25" s="858"/>
      <c r="L25" s="563"/>
      <c r="M25" s="563"/>
      <c r="N25" s="576"/>
      <c r="O25" s="541"/>
      <c r="P25" s="541"/>
      <c r="Q25" s="541"/>
      <c r="R25" s="541"/>
      <c r="S25" s="541"/>
      <c r="T25" s="541"/>
      <c r="U25" s="541"/>
      <c r="V25" s="541"/>
    </row>
    <row r="26" spans="1:22" s="565" customFormat="1" ht="12.75">
      <c r="A26" s="559"/>
      <c r="B26" s="560"/>
      <c r="C26" s="577"/>
      <c r="D26" s="571"/>
      <c r="E26" s="571"/>
      <c r="F26" s="571"/>
      <c r="G26" s="574"/>
      <c r="H26" s="571"/>
      <c r="I26" s="541"/>
      <c r="J26" s="541"/>
      <c r="L26" s="563"/>
      <c r="M26" s="563"/>
      <c r="N26" s="541"/>
      <c r="O26" s="541"/>
      <c r="P26" s="541"/>
      <c r="Q26" s="541"/>
      <c r="R26" s="541"/>
      <c r="S26" s="541"/>
      <c r="T26" s="541"/>
      <c r="U26" s="541"/>
      <c r="V26" s="541"/>
    </row>
    <row r="27" spans="1:22" s="565" customFormat="1" ht="12.75">
      <c r="A27" s="559">
        <f>+A21+1</f>
        <v>6</v>
      </c>
      <c r="B27" s="560" t="s">
        <v>74</v>
      </c>
      <c r="C27" s="577"/>
      <c r="D27" s="571"/>
      <c r="E27" s="571"/>
      <c r="F27" s="571"/>
      <c r="G27" s="574"/>
      <c r="H27" s="571"/>
      <c r="I27" s="578">
        <f>+I21+I19+I17+I15+I13+I23+I25</f>
        <v>176144955.87999997</v>
      </c>
      <c r="J27" s="578">
        <f>+J21+J19+J17+J15+J13+J23+J25</f>
        <v>170237483.38999996</v>
      </c>
      <c r="K27" s="578">
        <f>+K21+K19+K17+K15+K13+K23+K25</f>
        <v>5907472.4900000002</v>
      </c>
      <c r="L27" s="563"/>
      <c r="M27" s="563"/>
      <c r="N27" s="541"/>
      <c r="O27" s="541"/>
      <c r="P27" s="541"/>
      <c r="Q27" s="541"/>
      <c r="R27" s="541"/>
      <c r="S27" s="541"/>
      <c r="T27" s="541"/>
      <c r="U27" s="541"/>
      <c r="V27" s="541"/>
    </row>
    <row r="28" spans="1:22" s="565" customFormat="1" ht="12.75">
      <c r="A28" s="559"/>
      <c r="B28" s="560"/>
      <c r="C28" s="577"/>
      <c r="D28" s="571"/>
      <c r="E28" s="571"/>
      <c r="F28" s="571"/>
      <c r="G28" s="574"/>
      <c r="H28" s="571"/>
      <c r="I28" s="541"/>
      <c r="J28" s="541"/>
      <c r="K28" s="541"/>
      <c r="L28" s="563"/>
      <c r="M28" s="563"/>
      <c r="N28" s="541"/>
      <c r="O28" s="541"/>
      <c r="P28" s="541"/>
      <c r="Q28" s="541"/>
      <c r="R28" s="541"/>
      <c r="S28" s="541"/>
      <c r="T28" s="541"/>
      <c r="U28" s="541"/>
      <c r="V28" s="541"/>
    </row>
    <row r="29" spans="1:22" s="565" customFormat="1" ht="12.75">
      <c r="A29" s="559">
        <f>+A27+1</f>
        <v>7</v>
      </c>
      <c r="B29" s="1524" t="s">
        <v>485</v>
      </c>
      <c r="C29" s="1519"/>
      <c r="D29" s="1519"/>
      <c r="E29" s="1519"/>
      <c r="F29" s="1519"/>
      <c r="G29" s="1519"/>
      <c r="H29" s="571"/>
      <c r="I29" s="858"/>
      <c r="J29" s="562">
        <f>+I29-K29</f>
        <v>0</v>
      </c>
      <c r="K29" s="858"/>
      <c r="L29" s="563"/>
      <c r="M29" s="563"/>
      <c r="N29" s="541"/>
      <c r="O29" s="541"/>
      <c r="P29" s="541"/>
      <c r="Q29" s="541"/>
      <c r="R29" s="541"/>
      <c r="S29" s="541"/>
      <c r="T29" s="541"/>
      <c r="U29" s="541"/>
      <c r="V29" s="541"/>
    </row>
    <row r="30" spans="1:22" s="565" customFormat="1" ht="12.75">
      <c r="A30" s="1111"/>
      <c r="B30" s="1519"/>
      <c r="C30" s="1519"/>
      <c r="D30" s="1519"/>
      <c r="E30" s="1519"/>
      <c r="F30" s="1519"/>
      <c r="G30" s="1519"/>
      <c r="H30" s="561"/>
      <c r="I30" s="579"/>
      <c r="J30" s="561"/>
      <c r="K30" s="580"/>
      <c r="L30" s="563"/>
      <c r="M30" s="563"/>
      <c r="N30" s="541"/>
      <c r="O30" s="541"/>
      <c r="P30" s="541"/>
      <c r="Q30" s="541"/>
      <c r="R30" s="541"/>
      <c r="S30" s="541"/>
      <c r="T30" s="541"/>
      <c r="U30" s="541"/>
      <c r="V30" s="541"/>
    </row>
    <row r="31" spans="1:22" s="565" customFormat="1" ht="12.75">
      <c r="A31" s="559">
        <f>+A29+1</f>
        <v>8</v>
      </c>
      <c r="B31" s="567" t="s">
        <v>215</v>
      </c>
      <c r="C31" s="568"/>
      <c r="D31" s="569"/>
      <c r="E31" s="569"/>
      <c r="F31" s="569"/>
      <c r="G31" s="575"/>
      <c r="H31" s="561"/>
      <c r="I31" s="581">
        <f>SUM(I27:I29)</f>
        <v>176144955.87999997</v>
      </c>
      <c r="J31" s="581">
        <f>SUM(J27:J29)</f>
        <v>170237483.38999996</v>
      </c>
      <c r="K31" s="581">
        <f>SUM(K27:K29)</f>
        <v>5907472.4900000002</v>
      </c>
      <c r="L31" s="563"/>
      <c r="M31" s="563"/>
      <c r="N31" s="541"/>
      <c r="O31" s="541"/>
      <c r="P31" s="541"/>
      <c r="Q31" s="541"/>
      <c r="R31" s="541"/>
      <c r="S31" s="541"/>
      <c r="T31" s="541"/>
      <c r="U31" s="541"/>
      <c r="V31" s="541"/>
    </row>
    <row r="32" spans="1:22" s="565" customFormat="1" ht="12.75">
      <c r="A32" s="559"/>
      <c r="B32" s="567"/>
      <c r="C32" s="568"/>
      <c r="D32" s="569"/>
      <c r="E32" s="569"/>
      <c r="F32" s="569"/>
      <c r="G32" s="575"/>
      <c r="H32" s="561"/>
      <c r="I32" s="580"/>
      <c r="J32" s="580"/>
      <c r="K32" s="580"/>
      <c r="L32" s="563"/>
      <c r="M32" s="563"/>
      <c r="N32" s="541"/>
      <c r="O32" s="541"/>
      <c r="P32" s="541"/>
      <c r="Q32" s="541"/>
      <c r="R32" s="541"/>
      <c r="S32" s="541"/>
      <c r="T32" s="541"/>
      <c r="U32" s="541"/>
      <c r="V32" s="541"/>
    </row>
    <row r="33" spans="1:41" s="565" customFormat="1" ht="12.75">
      <c r="A33" s="559"/>
      <c r="B33" s="567"/>
      <c r="C33" s="568"/>
      <c r="D33" s="569"/>
      <c r="E33" s="569"/>
      <c r="F33" s="569"/>
      <c r="G33" s="575"/>
      <c r="H33" s="561"/>
      <c r="I33" s="580"/>
      <c r="J33" s="580"/>
      <c r="K33" s="580"/>
      <c r="L33" s="563"/>
      <c r="M33" s="563"/>
      <c r="N33" s="541"/>
      <c r="O33" s="541"/>
      <c r="P33" s="541"/>
      <c r="Q33" s="541"/>
      <c r="R33" s="541"/>
      <c r="S33" s="541"/>
      <c r="T33" s="541"/>
      <c r="U33" s="541"/>
      <c r="V33" s="541"/>
    </row>
    <row r="34" spans="1:41" s="565" customFormat="1" ht="12.75">
      <c r="A34" s="1122"/>
      <c r="L34" s="563"/>
      <c r="M34" s="563"/>
      <c r="N34" s="541"/>
      <c r="O34" s="541"/>
      <c r="P34" s="541"/>
      <c r="Q34" s="541"/>
      <c r="R34" s="541"/>
      <c r="S34" s="541"/>
      <c r="T34" s="541"/>
      <c r="U34" s="541"/>
      <c r="V34" s="541"/>
    </row>
    <row r="35" spans="1:41">
      <c r="A35" s="1123"/>
      <c r="B35" s="541"/>
      <c r="C35" s="560"/>
      <c r="D35" s="561"/>
      <c r="E35" s="561"/>
      <c r="F35" s="561"/>
      <c r="G35" s="574"/>
      <c r="H35" s="561"/>
      <c r="I35" s="561"/>
      <c r="J35" s="561"/>
      <c r="K35" s="561"/>
      <c r="L35" s="582"/>
      <c r="M35" s="583"/>
      <c r="N35" s="517"/>
      <c r="O35" s="550"/>
      <c r="P35" s="550"/>
      <c r="Q35" s="550"/>
      <c r="R35" s="550"/>
      <c r="S35" s="517"/>
      <c r="T35" s="517"/>
      <c r="U35" s="517"/>
      <c r="V35" s="517"/>
    </row>
    <row r="36" spans="1:41" ht="15" customHeight="1">
      <c r="A36" s="1111" t="s">
        <v>499</v>
      </c>
      <c r="B36" s="1523"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Appalachian Power Company's general ledger. The functional amounts identified as transmission revenue also come from the general ledger. </v>
      </c>
      <c r="C36" s="1523"/>
      <c r="D36" s="1523"/>
      <c r="E36" s="1523"/>
      <c r="F36" s="1523"/>
      <c r="G36" s="1523"/>
      <c r="H36" s="1523"/>
      <c r="I36" s="1523"/>
      <c r="J36" s="1523"/>
      <c r="K36" s="541"/>
      <c r="L36" s="585"/>
      <c r="M36" s="585"/>
      <c r="N36" s="517"/>
      <c r="O36" s="550"/>
      <c r="P36" s="550"/>
      <c r="Q36" s="550"/>
      <c r="R36" s="550"/>
      <c r="S36" s="517"/>
      <c r="T36" s="553"/>
      <c r="U36" s="517"/>
      <c r="V36" s="517"/>
    </row>
    <row r="37" spans="1:41" ht="15.75">
      <c r="A37" s="1111"/>
      <c r="B37" s="1523"/>
      <c r="C37" s="1523"/>
      <c r="D37" s="1523"/>
      <c r="E37" s="1523"/>
      <c r="F37" s="1523"/>
      <c r="G37" s="1523"/>
      <c r="H37" s="1523"/>
      <c r="I37" s="1523"/>
      <c r="J37" s="1523"/>
      <c r="K37" s="541"/>
      <c r="L37" s="516"/>
      <c r="M37" s="586"/>
      <c r="N37" s="586"/>
      <c r="O37" s="586"/>
      <c r="P37" s="586"/>
      <c r="Q37" s="586"/>
      <c r="R37" s="516"/>
      <c r="S37" s="516"/>
      <c r="T37" s="516"/>
      <c r="U37" s="516"/>
      <c r="V37" s="516"/>
      <c r="W37" s="555"/>
      <c r="X37" s="555"/>
      <c r="Y37" s="555"/>
      <c r="Z37" s="555"/>
      <c r="AA37" s="555"/>
      <c r="AB37" s="555"/>
      <c r="AC37" s="555"/>
      <c r="AD37" s="555"/>
      <c r="AE37" s="555"/>
      <c r="AF37" s="555"/>
      <c r="AG37" s="555"/>
      <c r="AH37" s="555"/>
      <c r="AI37" s="555"/>
      <c r="AJ37" s="555"/>
      <c r="AK37" s="555"/>
      <c r="AL37" s="555"/>
      <c r="AM37" s="555"/>
      <c r="AN37" s="555"/>
      <c r="AO37" s="555"/>
    </row>
    <row r="38" spans="1:41" ht="15.75">
      <c r="A38" s="1111" t="s">
        <v>621</v>
      </c>
      <c r="B38" s="1120" t="s">
        <v>622</v>
      </c>
      <c r="C38" s="1121"/>
      <c r="D38" s="1121"/>
      <c r="E38" s="1121"/>
      <c r="F38" s="1121"/>
      <c r="G38" s="1121"/>
      <c r="H38" s="1121"/>
      <c r="I38" s="584"/>
      <c r="J38" s="584"/>
      <c r="K38" s="587"/>
      <c r="L38" s="516"/>
      <c r="M38" s="586"/>
      <c r="N38" s="586"/>
      <c r="O38" s="586"/>
      <c r="P38" s="586"/>
      <c r="Q38" s="586"/>
      <c r="R38" s="516"/>
      <c r="S38" s="516"/>
      <c r="T38" s="516"/>
      <c r="U38" s="516"/>
      <c r="V38" s="516"/>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559">
        <f>+A31+1</f>
        <v>9</v>
      </c>
      <c r="B39" s="572" t="s">
        <v>534</v>
      </c>
      <c r="C39" s="541"/>
      <c r="D39" s="561"/>
      <c r="E39" s="561"/>
      <c r="F39" s="561"/>
      <c r="G39" s="574"/>
      <c r="H39" s="561"/>
      <c r="I39" s="580"/>
      <c r="J39" s="580"/>
      <c r="K39" s="858">
        <v>0</v>
      </c>
      <c r="L39" s="516"/>
      <c r="M39" s="586"/>
      <c r="N39" s="586"/>
      <c r="O39" s="586"/>
      <c r="P39" s="586"/>
      <c r="Q39" s="586"/>
      <c r="R39" s="516"/>
      <c r="S39" s="516"/>
      <c r="T39" s="516"/>
      <c r="U39" s="516"/>
      <c r="V39" s="516"/>
      <c r="W39" s="555"/>
      <c r="X39" s="555"/>
      <c r="Y39" s="555"/>
      <c r="Z39" s="555"/>
      <c r="AA39" s="555"/>
      <c r="AB39" s="555"/>
      <c r="AC39" s="555"/>
      <c r="AD39" s="555"/>
      <c r="AE39" s="555"/>
      <c r="AF39" s="555"/>
      <c r="AG39" s="555"/>
      <c r="AH39" s="555"/>
      <c r="AI39" s="555"/>
      <c r="AJ39" s="555"/>
      <c r="AK39" s="555"/>
      <c r="AL39" s="555"/>
      <c r="AM39" s="555"/>
      <c r="AN39" s="555"/>
      <c r="AO39" s="555"/>
    </row>
    <row r="40" spans="1:41" ht="15.75">
      <c r="A40" s="517"/>
      <c r="B40" s="516"/>
      <c r="E40" s="586"/>
      <c r="F40" s="586"/>
      <c r="G40" s="586"/>
      <c r="H40" s="586"/>
      <c r="I40" s="588"/>
      <c r="J40" s="586"/>
      <c r="K40" s="586"/>
      <c r="L40" s="516"/>
      <c r="M40" s="586"/>
      <c r="N40" s="586"/>
      <c r="O40" s="586"/>
      <c r="P40" s="586"/>
      <c r="Q40" s="586"/>
      <c r="R40" s="516"/>
      <c r="S40" s="516"/>
      <c r="T40" s="516"/>
      <c r="U40" s="516"/>
      <c r="V40" s="516"/>
      <c r="W40" s="555"/>
      <c r="X40" s="555"/>
      <c r="Y40" s="555"/>
      <c r="Z40" s="555"/>
      <c r="AA40" s="555"/>
      <c r="AB40" s="555"/>
      <c r="AC40" s="555"/>
      <c r="AD40" s="555"/>
      <c r="AE40" s="555"/>
      <c r="AF40" s="555"/>
      <c r="AG40" s="555"/>
      <c r="AH40" s="555"/>
      <c r="AI40" s="555"/>
      <c r="AJ40" s="555"/>
      <c r="AK40" s="555"/>
      <c r="AL40" s="555"/>
      <c r="AM40" s="555"/>
      <c r="AN40" s="555"/>
      <c r="AO40" s="555"/>
    </row>
    <row r="41" spans="1:41" ht="15.75">
      <c r="A41" s="517"/>
      <c r="B41" s="516"/>
      <c r="E41" s="586"/>
      <c r="F41" s="586"/>
      <c r="G41" s="586"/>
      <c r="H41" s="586"/>
      <c r="I41" s="586" t="s">
        <v>114</v>
      </c>
      <c r="J41" s="586"/>
      <c r="K41" s="586"/>
      <c r="L41" s="516"/>
      <c r="M41" s="586"/>
      <c r="N41" s="586"/>
      <c r="O41" s="586"/>
      <c r="P41" s="586"/>
      <c r="Q41" s="586"/>
      <c r="R41" s="516"/>
      <c r="S41" s="516"/>
      <c r="T41" s="516"/>
      <c r="U41" s="516"/>
      <c r="V41" s="516"/>
      <c r="W41" s="555"/>
      <c r="X41" s="555"/>
      <c r="Y41" s="555"/>
      <c r="Z41" s="555"/>
      <c r="AA41" s="555"/>
      <c r="AB41" s="555"/>
      <c r="AC41" s="555"/>
      <c r="AD41" s="555"/>
      <c r="AE41" s="555"/>
      <c r="AF41" s="555"/>
      <c r="AG41" s="555"/>
      <c r="AH41" s="555"/>
      <c r="AI41" s="555"/>
      <c r="AJ41" s="555"/>
      <c r="AK41" s="555"/>
      <c r="AL41" s="555"/>
      <c r="AM41" s="555"/>
      <c r="AN41" s="555"/>
      <c r="AO41" s="555"/>
    </row>
    <row r="42" spans="1:41" ht="15.75">
      <c r="A42" s="517"/>
      <c r="B42" s="516"/>
      <c r="E42" s="586"/>
      <c r="F42" s="586"/>
      <c r="G42" s="586"/>
      <c r="H42" s="586"/>
      <c r="I42" s="586" t="s">
        <v>114</v>
      </c>
      <c r="J42" s="586"/>
      <c r="K42" s="586"/>
      <c r="L42" s="516"/>
      <c r="M42" s="586"/>
      <c r="N42" s="586"/>
      <c r="O42" s="586"/>
      <c r="P42" s="586"/>
      <c r="Q42" s="586"/>
      <c r="R42" s="516"/>
      <c r="S42" s="516"/>
      <c r="T42" s="516"/>
      <c r="U42" s="516"/>
      <c r="V42" s="516"/>
      <c r="W42" s="555"/>
      <c r="X42" s="555"/>
      <c r="Y42" s="555"/>
      <c r="Z42" s="555"/>
      <c r="AA42" s="555"/>
      <c r="AB42" s="555"/>
      <c r="AC42" s="555"/>
      <c r="AD42" s="555"/>
      <c r="AE42" s="555"/>
      <c r="AF42" s="555"/>
      <c r="AG42" s="555"/>
      <c r="AH42" s="555"/>
      <c r="AI42" s="555"/>
      <c r="AJ42" s="555"/>
      <c r="AK42" s="555"/>
      <c r="AL42" s="555"/>
      <c r="AM42" s="555"/>
      <c r="AN42" s="555"/>
      <c r="AO42" s="555"/>
    </row>
    <row r="43" spans="1:41" ht="15.75">
      <c r="A43" s="517"/>
      <c r="B43" s="516"/>
      <c r="E43" s="586"/>
      <c r="F43" s="586"/>
      <c r="G43" s="586"/>
      <c r="H43" s="586"/>
      <c r="I43" s="586"/>
      <c r="J43" s="586"/>
      <c r="K43" s="586"/>
      <c r="L43" s="516"/>
      <c r="M43" s="586"/>
      <c r="N43" s="586"/>
      <c r="O43" s="586"/>
      <c r="P43" s="586"/>
      <c r="Q43" s="586"/>
      <c r="R43" s="516"/>
      <c r="S43" s="516"/>
      <c r="T43" s="516"/>
      <c r="U43" s="516"/>
      <c r="V43" s="516"/>
      <c r="W43" s="555"/>
      <c r="X43" s="555"/>
      <c r="Y43" s="555"/>
      <c r="Z43" s="555"/>
      <c r="AA43" s="555"/>
      <c r="AB43" s="555"/>
      <c r="AC43" s="555"/>
      <c r="AD43" s="555"/>
      <c r="AE43" s="555"/>
      <c r="AF43" s="555"/>
      <c r="AG43" s="555"/>
      <c r="AH43" s="555"/>
      <c r="AI43" s="555"/>
      <c r="AJ43" s="555"/>
      <c r="AK43" s="555"/>
      <c r="AL43" s="555"/>
      <c r="AM43" s="555"/>
      <c r="AN43" s="555"/>
      <c r="AO43" s="555"/>
    </row>
    <row r="44" spans="1:41" ht="15.75">
      <c r="A44" s="517"/>
      <c r="B44" s="516"/>
      <c r="E44" s="586"/>
      <c r="F44" s="586"/>
      <c r="G44" s="586"/>
      <c r="H44" s="586"/>
      <c r="I44" s="586"/>
      <c r="J44" s="586"/>
      <c r="K44" s="586"/>
      <c r="L44" s="516"/>
      <c r="M44" s="586"/>
      <c r="N44" s="586"/>
      <c r="O44" s="586"/>
      <c r="P44" s="586"/>
      <c r="Q44" s="586"/>
      <c r="R44" s="516"/>
      <c r="S44" s="516"/>
      <c r="T44" s="516"/>
      <c r="U44" s="516"/>
      <c r="V44" s="516"/>
      <c r="W44" s="555"/>
      <c r="X44" s="555"/>
      <c r="Y44" s="555"/>
      <c r="Z44" s="555"/>
      <c r="AA44" s="555"/>
      <c r="AB44" s="555"/>
      <c r="AC44" s="555"/>
      <c r="AD44" s="555"/>
      <c r="AE44" s="555"/>
      <c r="AF44" s="555"/>
      <c r="AG44" s="555"/>
      <c r="AH44" s="555"/>
      <c r="AI44" s="555"/>
      <c r="AJ44" s="555"/>
      <c r="AK44" s="555"/>
      <c r="AL44" s="555"/>
      <c r="AM44" s="555"/>
      <c r="AN44" s="555"/>
      <c r="AO44" s="555"/>
    </row>
    <row r="45" spans="1:41" ht="15.75">
      <c r="A45" s="517"/>
      <c r="B45" s="516"/>
      <c r="E45" s="586"/>
      <c r="F45" s="586"/>
      <c r="G45" s="586"/>
      <c r="H45" s="586"/>
      <c r="I45" s="586"/>
      <c r="J45" s="586"/>
      <c r="K45" s="586"/>
      <c r="L45" s="516"/>
      <c r="M45" s="586"/>
      <c r="N45" s="586"/>
      <c r="O45" s="586"/>
      <c r="P45" s="586"/>
      <c r="Q45" s="586"/>
      <c r="R45" s="516"/>
      <c r="S45" s="516"/>
      <c r="T45" s="516"/>
      <c r="U45" s="516"/>
      <c r="V45" s="516"/>
      <c r="W45" s="555"/>
      <c r="X45" s="555"/>
      <c r="Y45" s="555"/>
      <c r="Z45" s="555"/>
      <c r="AA45" s="555"/>
      <c r="AB45" s="555"/>
      <c r="AC45" s="555"/>
      <c r="AD45" s="555"/>
      <c r="AE45" s="555"/>
      <c r="AF45" s="555"/>
      <c r="AG45" s="555"/>
      <c r="AH45" s="555"/>
      <c r="AI45" s="555"/>
      <c r="AJ45" s="555"/>
      <c r="AK45" s="555"/>
      <c r="AL45" s="555"/>
      <c r="AM45" s="555"/>
      <c r="AN45" s="555"/>
      <c r="AO45" s="555"/>
    </row>
    <row r="46" spans="1:41" ht="15.75">
      <c r="A46" s="517"/>
      <c r="B46" s="516"/>
      <c r="E46" s="586"/>
      <c r="F46" s="586"/>
      <c r="G46" s="586"/>
      <c r="H46" s="586"/>
      <c r="I46" s="586"/>
      <c r="J46" s="586"/>
      <c r="K46" s="586"/>
      <c r="L46" s="516"/>
      <c r="M46" s="586"/>
      <c r="N46" s="586"/>
      <c r="O46" s="586"/>
      <c r="P46" s="586"/>
      <c r="Q46" s="586"/>
      <c r="R46" s="516"/>
      <c r="S46" s="516"/>
      <c r="T46" s="516"/>
      <c r="U46" s="516"/>
      <c r="V46" s="516"/>
      <c r="W46" s="555"/>
      <c r="X46" s="555"/>
      <c r="Y46" s="555"/>
      <c r="Z46" s="555"/>
      <c r="AA46" s="555"/>
      <c r="AB46" s="555"/>
      <c r="AC46" s="555"/>
      <c r="AD46" s="555"/>
      <c r="AE46" s="555"/>
      <c r="AF46" s="555"/>
      <c r="AG46" s="555"/>
      <c r="AH46" s="555"/>
      <c r="AI46" s="555"/>
      <c r="AJ46" s="555"/>
      <c r="AK46" s="555"/>
      <c r="AL46" s="555"/>
      <c r="AM46" s="555"/>
      <c r="AN46" s="555"/>
      <c r="AO46" s="555"/>
    </row>
    <row r="47" spans="1:41" ht="15.75">
      <c r="A47" s="517"/>
      <c r="B47" s="516"/>
      <c r="E47" s="586"/>
      <c r="F47" s="586"/>
      <c r="G47" s="586"/>
      <c r="H47" s="586"/>
      <c r="I47" s="586"/>
      <c r="J47" s="586"/>
      <c r="K47" s="586"/>
      <c r="L47" s="516"/>
      <c r="M47" s="586"/>
      <c r="N47" s="586"/>
      <c r="O47" s="586"/>
      <c r="P47" s="586"/>
      <c r="Q47" s="586"/>
      <c r="R47" s="516"/>
      <c r="S47" s="516"/>
      <c r="T47" s="516"/>
      <c r="U47" s="516"/>
      <c r="V47" s="516"/>
      <c r="W47" s="555"/>
      <c r="X47" s="555"/>
      <c r="Y47" s="555"/>
      <c r="Z47" s="555"/>
      <c r="AA47" s="555"/>
      <c r="AB47" s="555"/>
      <c r="AC47" s="555"/>
      <c r="AD47" s="555"/>
      <c r="AE47" s="555"/>
      <c r="AF47" s="555"/>
      <c r="AG47" s="555"/>
      <c r="AH47" s="555"/>
      <c r="AI47" s="555"/>
      <c r="AJ47" s="555"/>
      <c r="AK47" s="555"/>
      <c r="AL47" s="555"/>
      <c r="AM47" s="555"/>
      <c r="AN47" s="555"/>
      <c r="AO47" s="555"/>
    </row>
    <row r="48" spans="1:41" ht="15.75">
      <c r="A48" s="517"/>
      <c r="B48" s="516"/>
      <c r="E48" s="586"/>
      <c r="F48" s="586"/>
      <c r="G48" s="586"/>
      <c r="H48" s="586"/>
      <c r="I48" s="586"/>
      <c r="J48" s="586"/>
      <c r="K48" s="586"/>
      <c r="L48" s="516"/>
      <c r="M48" s="586"/>
      <c r="N48" s="586"/>
      <c r="O48" s="586"/>
      <c r="P48" s="586"/>
      <c r="Q48" s="586"/>
      <c r="R48" s="516"/>
      <c r="S48" s="516"/>
      <c r="T48" s="516"/>
      <c r="U48" s="516"/>
      <c r="V48" s="516"/>
      <c r="W48" s="555"/>
      <c r="X48" s="555"/>
      <c r="Y48" s="555"/>
      <c r="Z48" s="555"/>
      <c r="AA48" s="555"/>
      <c r="AB48" s="555"/>
      <c r="AC48" s="555"/>
      <c r="AD48" s="555"/>
      <c r="AE48" s="555"/>
      <c r="AF48" s="555"/>
      <c r="AG48" s="555"/>
      <c r="AH48" s="555"/>
      <c r="AI48" s="555"/>
      <c r="AJ48" s="555"/>
      <c r="AK48" s="555"/>
      <c r="AL48" s="555"/>
      <c r="AM48" s="555"/>
      <c r="AN48" s="555"/>
      <c r="AO48" s="555"/>
    </row>
    <row r="49" spans="1:41" ht="15.75">
      <c r="I49" s="586"/>
      <c r="J49" s="586"/>
      <c r="K49" s="586"/>
      <c r="L49" s="516"/>
      <c r="M49" s="586"/>
      <c r="N49" s="586"/>
      <c r="O49" s="586"/>
      <c r="P49" s="586"/>
      <c r="Q49" s="586"/>
      <c r="R49" s="516"/>
      <c r="S49" s="516"/>
      <c r="T49" s="516"/>
      <c r="U49" s="516"/>
      <c r="V49" s="516"/>
      <c r="W49" s="555"/>
      <c r="X49" s="555"/>
      <c r="Y49" s="555"/>
      <c r="Z49" s="555"/>
      <c r="AA49" s="555"/>
      <c r="AB49" s="555"/>
      <c r="AC49" s="555"/>
      <c r="AD49" s="555"/>
      <c r="AE49" s="555"/>
      <c r="AF49" s="555"/>
      <c r="AG49" s="555"/>
      <c r="AH49" s="555"/>
      <c r="AI49" s="555"/>
      <c r="AJ49" s="555"/>
      <c r="AK49" s="555"/>
      <c r="AL49" s="555"/>
      <c r="AM49" s="555"/>
      <c r="AN49" s="555"/>
      <c r="AO49" s="555"/>
    </row>
    <row r="50" spans="1:41" ht="15.75">
      <c r="A50" s="517"/>
      <c r="B50" s="516"/>
      <c r="E50" s="586"/>
      <c r="F50" s="586"/>
      <c r="G50" s="586"/>
      <c r="H50" s="586"/>
      <c r="I50" s="586"/>
      <c r="J50" s="586"/>
      <c r="K50" s="586"/>
      <c r="L50" s="516"/>
      <c r="M50" s="586"/>
      <c r="N50" s="586"/>
      <c r="O50" s="586"/>
      <c r="P50" s="586"/>
      <c r="Q50" s="586"/>
      <c r="R50" s="516"/>
      <c r="S50" s="516"/>
      <c r="T50" s="516"/>
      <c r="U50" s="516"/>
      <c r="V50" s="516"/>
      <c r="W50" s="555"/>
      <c r="X50" s="555"/>
      <c r="Y50" s="555"/>
      <c r="Z50" s="555"/>
      <c r="AA50" s="555"/>
      <c r="AB50" s="555"/>
      <c r="AC50" s="555"/>
      <c r="AD50" s="555"/>
      <c r="AE50" s="555"/>
      <c r="AF50" s="555"/>
      <c r="AG50" s="555"/>
      <c r="AH50" s="555"/>
      <c r="AI50" s="555"/>
      <c r="AJ50" s="555"/>
      <c r="AK50" s="555"/>
      <c r="AL50" s="555"/>
      <c r="AM50" s="555"/>
      <c r="AN50" s="555"/>
      <c r="AO50" s="555"/>
    </row>
    <row r="51" spans="1:41" ht="15.75">
      <c r="A51" s="517"/>
      <c r="B51" s="516"/>
      <c r="E51" s="586"/>
      <c r="F51" s="586"/>
      <c r="G51" s="586"/>
      <c r="H51" s="586"/>
      <c r="I51" s="586"/>
      <c r="J51" s="586"/>
      <c r="K51" s="586"/>
      <c r="L51" s="516"/>
      <c r="M51" s="586"/>
      <c r="N51" s="586"/>
      <c r="O51" s="586"/>
      <c r="P51" s="586"/>
      <c r="Q51" s="586"/>
      <c r="R51" s="516"/>
      <c r="S51" s="516"/>
      <c r="T51" s="516"/>
      <c r="U51" s="516"/>
      <c r="V51" s="516"/>
      <c r="W51" s="555"/>
      <c r="X51" s="555"/>
      <c r="Y51" s="555"/>
      <c r="Z51" s="555"/>
      <c r="AA51" s="555"/>
      <c r="AB51" s="555"/>
      <c r="AC51" s="555"/>
      <c r="AD51" s="555"/>
      <c r="AE51" s="555"/>
      <c r="AF51" s="555"/>
      <c r="AG51" s="555"/>
      <c r="AH51" s="555"/>
      <c r="AI51" s="555"/>
      <c r="AJ51" s="555"/>
      <c r="AK51" s="555"/>
      <c r="AL51" s="555"/>
      <c r="AM51" s="555"/>
      <c r="AN51" s="555"/>
      <c r="AO51" s="555"/>
    </row>
    <row r="52" spans="1:41" ht="15.75">
      <c r="A52" s="517"/>
      <c r="B52" s="516"/>
      <c r="E52" s="586"/>
      <c r="F52" s="586"/>
      <c r="G52" s="586"/>
      <c r="H52" s="586"/>
      <c r="I52" s="586"/>
      <c r="J52" s="586"/>
      <c r="K52" s="586"/>
      <c r="L52" s="516"/>
      <c r="M52" s="586"/>
      <c r="N52" s="586"/>
      <c r="O52" s="586"/>
      <c r="P52" s="586"/>
      <c r="Q52" s="586"/>
      <c r="R52" s="516"/>
      <c r="S52" s="516"/>
      <c r="T52" s="516"/>
      <c r="U52" s="516"/>
      <c r="V52" s="516"/>
      <c r="W52" s="555"/>
      <c r="X52" s="555"/>
      <c r="Y52" s="555"/>
      <c r="Z52" s="555"/>
      <c r="AA52" s="555"/>
      <c r="AB52" s="555"/>
      <c r="AC52" s="555"/>
      <c r="AD52" s="555"/>
      <c r="AE52" s="555"/>
      <c r="AF52" s="555"/>
      <c r="AG52" s="555"/>
      <c r="AH52" s="555"/>
      <c r="AI52" s="555"/>
      <c r="AJ52" s="555"/>
      <c r="AK52" s="555"/>
      <c r="AL52" s="555"/>
      <c r="AM52" s="555"/>
      <c r="AN52" s="555"/>
      <c r="AO52" s="555"/>
    </row>
    <row r="53" spans="1:41" ht="15.75">
      <c r="A53" s="517"/>
      <c r="B53" s="516"/>
      <c r="E53" s="586"/>
      <c r="F53" s="586"/>
      <c r="G53" s="586"/>
      <c r="H53" s="586"/>
      <c r="I53" s="586"/>
      <c r="J53" s="586"/>
      <c r="K53" s="586"/>
      <c r="L53" s="516"/>
      <c r="M53" s="586"/>
      <c r="N53" s="586"/>
      <c r="O53" s="586"/>
      <c r="P53" s="586"/>
      <c r="Q53" s="586"/>
      <c r="R53" s="516"/>
      <c r="S53" s="516"/>
      <c r="T53" s="516"/>
      <c r="U53" s="516"/>
      <c r="V53" s="516"/>
      <c r="W53" s="555"/>
      <c r="X53" s="555"/>
      <c r="Y53" s="555"/>
      <c r="Z53" s="555"/>
      <c r="AA53" s="555"/>
      <c r="AB53" s="555"/>
      <c r="AC53" s="555"/>
      <c r="AD53" s="555"/>
      <c r="AE53" s="555"/>
      <c r="AF53" s="555"/>
      <c r="AG53" s="555"/>
      <c r="AH53" s="555"/>
      <c r="AI53" s="555"/>
      <c r="AJ53" s="555"/>
      <c r="AK53" s="555"/>
      <c r="AL53" s="555"/>
      <c r="AM53" s="555"/>
      <c r="AN53" s="555"/>
      <c r="AO53" s="555"/>
    </row>
    <row r="54" spans="1:41" ht="15.75">
      <c r="A54" s="517"/>
      <c r="B54" s="516"/>
      <c r="E54" s="586"/>
      <c r="F54" s="586"/>
      <c r="G54" s="586"/>
      <c r="H54" s="586"/>
      <c r="I54" s="586"/>
      <c r="J54" s="586"/>
      <c r="K54" s="586"/>
      <c r="L54" s="516"/>
      <c r="M54" s="586"/>
      <c r="N54" s="586"/>
      <c r="O54" s="586"/>
      <c r="P54" s="586"/>
      <c r="Q54" s="586"/>
      <c r="R54" s="516"/>
      <c r="S54" s="516"/>
      <c r="T54" s="516"/>
      <c r="U54" s="516"/>
      <c r="V54" s="516"/>
      <c r="W54" s="555"/>
      <c r="X54" s="555"/>
      <c r="Y54" s="555"/>
      <c r="Z54" s="555"/>
      <c r="AA54" s="555"/>
      <c r="AB54" s="555"/>
      <c r="AC54" s="555"/>
      <c r="AD54" s="555"/>
      <c r="AE54" s="555"/>
      <c r="AF54" s="555"/>
      <c r="AG54" s="555"/>
      <c r="AH54" s="555"/>
      <c r="AI54" s="555"/>
      <c r="AJ54" s="555"/>
      <c r="AK54" s="555"/>
      <c r="AL54" s="555"/>
      <c r="AM54" s="555"/>
      <c r="AN54" s="555"/>
      <c r="AO54" s="555"/>
    </row>
    <row r="55" spans="1:41" ht="15.75">
      <c r="A55" s="517"/>
      <c r="B55" s="516"/>
      <c r="E55" s="586"/>
      <c r="F55" s="586"/>
      <c r="G55" s="586"/>
      <c r="H55" s="586"/>
      <c r="I55" s="586"/>
      <c r="J55" s="586"/>
      <c r="K55" s="586"/>
      <c r="L55" s="516"/>
      <c r="M55" s="586"/>
      <c r="N55" s="586"/>
      <c r="O55" s="586"/>
      <c r="P55" s="586"/>
      <c r="Q55" s="586"/>
      <c r="R55" s="516"/>
      <c r="S55" s="516"/>
      <c r="T55" s="516"/>
      <c r="U55" s="516"/>
      <c r="V55" s="516"/>
      <c r="W55" s="555"/>
      <c r="X55" s="555"/>
      <c r="Y55" s="555"/>
      <c r="Z55" s="555"/>
      <c r="AA55" s="555"/>
      <c r="AB55" s="555"/>
      <c r="AC55" s="555"/>
      <c r="AD55" s="555"/>
      <c r="AE55" s="555"/>
      <c r="AF55" s="555"/>
      <c r="AG55" s="555"/>
      <c r="AH55" s="555"/>
      <c r="AI55" s="555"/>
      <c r="AJ55" s="555"/>
      <c r="AK55" s="555"/>
      <c r="AL55" s="555"/>
      <c r="AM55" s="555"/>
      <c r="AN55" s="555"/>
      <c r="AO55" s="555"/>
    </row>
    <row r="56" spans="1:41" ht="15.75">
      <c r="A56" s="517"/>
      <c r="B56" s="516"/>
      <c r="E56" s="586"/>
      <c r="F56" s="586"/>
      <c r="G56" s="586"/>
      <c r="H56" s="586"/>
      <c r="I56" s="586"/>
      <c r="J56" s="586"/>
      <c r="K56" s="586"/>
      <c r="L56" s="516"/>
      <c r="M56" s="586"/>
      <c r="N56" s="586"/>
      <c r="O56" s="586"/>
      <c r="P56" s="586"/>
      <c r="Q56" s="586"/>
      <c r="R56" s="516"/>
      <c r="S56" s="516"/>
      <c r="T56" s="516"/>
      <c r="U56" s="516"/>
      <c r="V56" s="516"/>
      <c r="W56" s="555"/>
      <c r="X56" s="555"/>
      <c r="Y56" s="555"/>
      <c r="Z56" s="555"/>
      <c r="AA56" s="555"/>
      <c r="AB56" s="555"/>
      <c r="AC56" s="555"/>
      <c r="AD56" s="555"/>
      <c r="AE56" s="555"/>
      <c r="AF56" s="555"/>
      <c r="AG56" s="555"/>
      <c r="AH56" s="555"/>
      <c r="AI56" s="555"/>
      <c r="AJ56" s="555"/>
      <c r="AK56" s="555"/>
      <c r="AL56" s="555"/>
      <c r="AM56" s="555"/>
      <c r="AN56" s="555"/>
      <c r="AO56" s="555"/>
    </row>
    <row r="57" spans="1:41" ht="15.75">
      <c r="A57" s="517"/>
      <c r="B57" s="516"/>
      <c r="E57" s="586"/>
      <c r="F57" s="586"/>
      <c r="G57" s="586"/>
      <c r="H57" s="586"/>
      <c r="I57" s="586"/>
      <c r="J57" s="586"/>
      <c r="K57" s="586"/>
      <c r="L57" s="516"/>
      <c r="M57" s="586"/>
      <c r="N57" s="586"/>
      <c r="O57" s="586"/>
      <c r="P57" s="586"/>
      <c r="Q57" s="586"/>
      <c r="R57" s="516"/>
      <c r="S57" s="516"/>
      <c r="T57" s="516"/>
      <c r="U57" s="516"/>
      <c r="V57" s="516"/>
      <c r="W57" s="555"/>
      <c r="X57" s="555"/>
      <c r="Y57" s="555"/>
      <c r="Z57" s="555"/>
      <c r="AA57" s="555"/>
      <c r="AB57" s="555"/>
      <c r="AC57" s="555"/>
      <c r="AD57" s="555"/>
      <c r="AE57" s="555"/>
      <c r="AF57" s="555"/>
      <c r="AG57" s="555"/>
      <c r="AH57" s="555"/>
      <c r="AI57" s="555"/>
      <c r="AJ57" s="555"/>
      <c r="AK57" s="555"/>
      <c r="AL57" s="555"/>
      <c r="AM57" s="555"/>
      <c r="AN57" s="555"/>
      <c r="AO57" s="555"/>
    </row>
    <row r="58" spans="1:41" ht="15.75">
      <c r="A58" s="517"/>
      <c r="B58" s="516"/>
      <c r="E58" s="586"/>
      <c r="F58" s="586"/>
      <c r="G58" s="586"/>
      <c r="H58" s="586"/>
      <c r="I58" s="586"/>
      <c r="J58" s="586"/>
      <c r="K58" s="586"/>
      <c r="L58" s="516"/>
      <c r="M58" s="586"/>
      <c r="N58" s="586"/>
      <c r="O58" s="586"/>
      <c r="P58" s="586"/>
      <c r="Q58" s="586"/>
      <c r="R58" s="516"/>
      <c r="S58" s="516"/>
      <c r="T58" s="516"/>
      <c r="U58" s="516"/>
      <c r="V58" s="516"/>
      <c r="W58" s="555"/>
      <c r="X58" s="555"/>
      <c r="Y58" s="555"/>
      <c r="Z58" s="555"/>
      <c r="AA58" s="555"/>
      <c r="AB58" s="555"/>
      <c r="AC58" s="555"/>
      <c r="AD58" s="555"/>
      <c r="AE58" s="555"/>
      <c r="AF58" s="555"/>
      <c r="AG58" s="555"/>
      <c r="AH58" s="555"/>
      <c r="AI58" s="555"/>
      <c r="AJ58" s="555"/>
      <c r="AK58" s="555"/>
      <c r="AL58" s="555"/>
      <c r="AM58" s="555"/>
      <c r="AN58" s="555"/>
      <c r="AO58" s="555"/>
    </row>
    <row r="59" spans="1:41" ht="15.75">
      <c r="A59" s="517"/>
      <c r="B59" s="516"/>
      <c r="E59" s="586"/>
      <c r="F59" s="586"/>
      <c r="G59" s="586"/>
      <c r="H59" s="586"/>
      <c r="I59" s="586"/>
      <c r="J59" s="586"/>
      <c r="K59" s="586"/>
      <c r="L59" s="516"/>
      <c r="M59" s="586"/>
      <c r="N59" s="586"/>
      <c r="O59" s="586"/>
      <c r="P59" s="586"/>
      <c r="Q59" s="586"/>
      <c r="R59" s="516"/>
      <c r="S59" s="516"/>
      <c r="T59" s="516"/>
      <c r="U59" s="516"/>
      <c r="V59" s="516"/>
      <c r="W59" s="555"/>
      <c r="X59" s="555"/>
      <c r="Y59" s="555"/>
      <c r="Z59" s="555"/>
      <c r="AA59" s="555"/>
      <c r="AB59" s="555"/>
      <c r="AC59" s="555"/>
      <c r="AD59" s="555"/>
      <c r="AE59" s="555"/>
      <c r="AF59" s="555"/>
      <c r="AG59" s="555"/>
      <c r="AH59" s="555"/>
      <c r="AI59" s="555"/>
      <c r="AJ59" s="555"/>
      <c r="AK59" s="555"/>
      <c r="AL59" s="555"/>
      <c r="AM59" s="555"/>
      <c r="AN59" s="555"/>
      <c r="AO59" s="555"/>
    </row>
    <row r="60" spans="1:41" ht="15.75">
      <c r="A60" s="517"/>
      <c r="B60" s="516"/>
      <c r="E60" s="586"/>
      <c r="F60" s="586"/>
      <c r="G60" s="586"/>
      <c r="H60" s="586"/>
      <c r="I60" s="586"/>
      <c r="J60" s="586"/>
      <c r="K60" s="586"/>
      <c r="L60" s="516"/>
      <c r="M60" s="586"/>
      <c r="N60" s="586"/>
      <c r="O60" s="586"/>
      <c r="P60" s="586"/>
      <c r="Q60" s="586"/>
      <c r="R60" s="516"/>
      <c r="S60" s="516"/>
      <c r="T60" s="516"/>
      <c r="U60" s="516"/>
      <c r="V60" s="516"/>
      <c r="W60" s="555"/>
      <c r="X60" s="555"/>
      <c r="Y60" s="555"/>
      <c r="Z60" s="555"/>
      <c r="AA60" s="555"/>
      <c r="AB60" s="555"/>
      <c r="AC60" s="555"/>
      <c r="AD60" s="555"/>
      <c r="AE60" s="555"/>
      <c r="AF60" s="555"/>
      <c r="AG60" s="555"/>
      <c r="AH60" s="555"/>
      <c r="AI60" s="555"/>
      <c r="AJ60" s="555"/>
      <c r="AK60" s="555"/>
      <c r="AL60" s="555"/>
      <c r="AM60" s="555"/>
      <c r="AN60" s="555"/>
      <c r="AO60" s="555"/>
    </row>
    <row r="61" spans="1:41" ht="15.75">
      <c r="A61" s="517"/>
      <c r="B61" s="516"/>
      <c r="E61" s="586"/>
      <c r="F61" s="586"/>
      <c r="G61" s="586"/>
      <c r="H61" s="586"/>
      <c r="I61" s="586"/>
      <c r="J61" s="586"/>
      <c r="K61" s="586"/>
      <c r="L61" s="516"/>
      <c r="M61" s="586"/>
      <c r="N61" s="586"/>
      <c r="O61" s="586"/>
      <c r="P61" s="586"/>
      <c r="Q61" s="586"/>
      <c r="R61" s="516"/>
      <c r="S61" s="516"/>
      <c r="T61" s="516"/>
      <c r="U61" s="516"/>
      <c r="V61" s="516"/>
      <c r="W61" s="555"/>
      <c r="X61" s="555"/>
      <c r="Y61" s="555"/>
      <c r="Z61" s="555"/>
      <c r="AA61" s="555"/>
      <c r="AB61" s="555"/>
      <c r="AC61" s="555"/>
      <c r="AD61" s="555"/>
      <c r="AE61" s="555"/>
      <c r="AF61" s="555"/>
      <c r="AG61" s="555"/>
      <c r="AH61" s="555"/>
      <c r="AI61" s="555"/>
      <c r="AJ61" s="555"/>
      <c r="AK61" s="555"/>
      <c r="AL61" s="555"/>
      <c r="AM61" s="555"/>
      <c r="AN61" s="555"/>
      <c r="AO61" s="555"/>
    </row>
    <row r="62" spans="1:41" ht="15.75">
      <c r="A62" s="517"/>
      <c r="B62" s="516"/>
      <c r="E62" s="586"/>
      <c r="F62" s="586"/>
      <c r="G62" s="586"/>
      <c r="H62" s="586"/>
      <c r="I62" s="586"/>
      <c r="J62" s="586"/>
      <c r="K62" s="586"/>
      <c r="L62" s="516"/>
      <c r="M62" s="586"/>
      <c r="N62" s="586"/>
      <c r="O62" s="586"/>
      <c r="P62" s="586"/>
      <c r="Q62" s="586"/>
      <c r="R62" s="516"/>
      <c r="S62" s="516"/>
      <c r="T62" s="516"/>
      <c r="U62" s="516"/>
      <c r="V62" s="516"/>
      <c r="W62" s="555"/>
      <c r="X62" s="555"/>
      <c r="Y62" s="555"/>
      <c r="Z62" s="555"/>
      <c r="AA62" s="555"/>
      <c r="AB62" s="555"/>
      <c r="AC62" s="555"/>
      <c r="AD62" s="555"/>
      <c r="AE62" s="555"/>
      <c r="AF62" s="555"/>
      <c r="AG62" s="555"/>
      <c r="AH62" s="555"/>
      <c r="AI62" s="555"/>
      <c r="AJ62" s="555"/>
      <c r="AK62" s="555"/>
      <c r="AL62" s="555"/>
      <c r="AM62" s="555"/>
      <c r="AN62" s="555"/>
      <c r="AO62" s="555"/>
    </row>
    <row r="63" spans="1:41" ht="15.75">
      <c r="A63" s="517"/>
      <c r="B63" s="516"/>
      <c r="E63" s="586"/>
      <c r="F63" s="586"/>
      <c r="G63" s="586"/>
      <c r="H63" s="586"/>
      <c r="I63" s="586"/>
      <c r="J63" s="586"/>
      <c r="K63" s="586"/>
      <c r="L63" s="516"/>
      <c r="M63" s="586"/>
      <c r="N63" s="586"/>
      <c r="O63" s="586"/>
      <c r="P63" s="586"/>
      <c r="Q63" s="586"/>
      <c r="R63" s="516"/>
      <c r="S63" s="516"/>
      <c r="T63" s="516"/>
      <c r="U63" s="516"/>
      <c r="V63" s="516"/>
      <c r="W63" s="555"/>
      <c r="X63" s="555"/>
      <c r="Y63" s="555"/>
      <c r="Z63" s="555"/>
      <c r="AA63" s="555"/>
      <c r="AB63" s="555"/>
      <c r="AC63" s="555"/>
      <c r="AD63" s="555"/>
      <c r="AE63" s="555"/>
      <c r="AF63" s="555"/>
      <c r="AG63" s="555"/>
      <c r="AH63" s="555"/>
      <c r="AI63" s="555"/>
      <c r="AJ63" s="555"/>
      <c r="AK63" s="555"/>
      <c r="AL63" s="555"/>
      <c r="AM63" s="555"/>
      <c r="AN63" s="555"/>
      <c r="AO63" s="555"/>
    </row>
    <row r="64" spans="1:41" ht="15.75">
      <c r="A64" s="517"/>
      <c r="B64" s="516"/>
      <c r="E64" s="586"/>
      <c r="F64" s="586"/>
      <c r="G64" s="586"/>
      <c r="H64" s="586"/>
      <c r="I64" s="586"/>
      <c r="J64" s="586"/>
      <c r="K64" s="586"/>
      <c r="L64" s="516"/>
      <c r="M64" s="586"/>
      <c r="N64" s="586"/>
      <c r="O64" s="586"/>
      <c r="P64" s="586"/>
      <c r="Q64" s="586"/>
      <c r="R64" s="516"/>
      <c r="S64" s="516"/>
      <c r="T64" s="516"/>
      <c r="U64" s="516"/>
      <c r="V64" s="516"/>
      <c r="W64" s="555"/>
      <c r="X64" s="555"/>
      <c r="Y64" s="555"/>
      <c r="Z64" s="555"/>
      <c r="AA64" s="555"/>
      <c r="AB64" s="555"/>
      <c r="AC64" s="555"/>
      <c r="AD64" s="555"/>
      <c r="AE64" s="555"/>
      <c r="AF64" s="555"/>
      <c r="AG64" s="555"/>
      <c r="AH64" s="555"/>
      <c r="AI64" s="555"/>
      <c r="AJ64" s="555"/>
      <c r="AK64" s="555"/>
      <c r="AL64" s="555"/>
      <c r="AM64" s="555"/>
      <c r="AN64" s="555"/>
      <c r="AO64" s="555"/>
    </row>
    <row r="65" spans="1:41" ht="15.75">
      <c r="A65" s="517"/>
      <c r="B65" s="516"/>
      <c r="E65" s="586"/>
      <c r="F65" s="586"/>
      <c r="G65" s="586"/>
      <c r="H65" s="586"/>
      <c r="I65" s="586"/>
      <c r="J65" s="586"/>
      <c r="K65" s="586"/>
      <c r="L65" s="516"/>
      <c r="M65" s="586"/>
      <c r="N65" s="586"/>
      <c r="O65" s="586"/>
      <c r="P65" s="586"/>
      <c r="Q65" s="586"/>
      <c r="R65" s="516"/>
      <c r="S65" s="516"/>
      <c r="T65" s="516"/>
      <c r="U65" s="516"/>
      <c r="V65" s="516"/>
      <c r="W65" s="555"/>
      <c r="X65" s="555"/>
      <c r="Y65" s="555"/>
      <c r="Z65" s="555"/>
      <c r="AA65" s="555"/>
      <c r="AB65" s="555"/>
      <c r="AC65" s="555"/>
      <c r="AD65" s="555"/>
      <c r="AE65" s="555"/>
      <c r="AF65" s="555"/>
      <c r="AG65" s="555"/>
      <c r="AH65" s="555"/>
      <c r="AI65" s="555"/>
      <c r="AJ65" s="555"/>
      <c r="AK65" s="555"/>
      <c r="AL65" s="555"/>
      <c r="AM65" s="555"/>
      <c r="AN65" s="555"/>
      <c r="AO65" s="555"/>
    </row>
    <row r="66" spans="1:41" ht="15.75">
      <c r="A66" s="517"/>
      <c r="B66" s="516"/>
      <c r="E66" s="586"/>
      <c r="F66" s="586"/>
      <c r="G66" s="586"/>
      <c r="H66" s="586"/>
      <c r="I66" s="586"/>
      <c r="J66" s="586"/>
      <c r="K66" s="586"/>
      <c r="L66" s="516"/>
      <c r="M66" s="586"/>
      <c r="N66" s="586"/>
      <c r="O66" s="586"/>
      <c r="P66" s="586"/>
      <c r="Q66" s="586"/>
      <c r="R66" s="516"/>
      <c r="S66" s="516"/>
      <c r="T66" s="516"/>
      <c r="U66" s="516"/>
      <c r="V66" s="516"/>
      <c r="W66" s="555"/>
      <c r="X66" s="555"/>
      <c r="Y66" s="555"/>
      <c r="Z66" s="555"/>
      <c r="AA66" s="555"/>
      <c r="AB66" s="555"/>
      <c r="AC66" s="555"/>
      <c r="AD66" s="555"/>
      <c r="AE66" s="555"/>
      <c r="AF66" s="555"/>
      <c r="AG66" s="555"/>
      <c r="AH66" s="555"/>
      <c r="AI66" s="555"/>
      <c r="AJ66" s="555"/>
      <c r="AK66" s="555"/>
      <c r="AL66" s="555"/>
      <c r="AM66" s="555"/>
      <c r="AN66" s="555"/>
      <c r="AO66" s="555"/>
    </row>
    <row r="67" spans="1:41" ht="15.75">
      <c r="A67" s="517"/>
      <c r="B67" s="516"/>
      <c r="E67" s="586"/>
      <c r="F67" s="586"/>
      <c r="G67" s="586"/>
      <c r="H67" s="586"/>
      <c r="I67" s="586"/>
      <c r="J67" s="586"/>
      <c r="K67" s="586"/>
      <c r="L67" s="516"/>
      <c r="M67" s="586"/>
      <c r="N67" s="586"/>
      <c r="O67" s="586"/>
      <c r="P67" s="586"/>
      <c r="Q67" s="586"/>
      <c r="R67" s="516"/>
      <c r="S67" s="516"/>
      <c r="T67" s="516"/>
      <c r="U67" s="516"/>
      <c r="V67" s="516"/>
      <c r="W67" s="555"/>
      <c r="X67" s="555"/>
      <c r="Y67" s="555"/>
      <c r="Z67" s="555"/>
      <c r="AA67" s="555"/>
      <c r="AB67" s="555"/>
      <c r="AC67" s="555"/>
      <c r="AD67" s="555"/>
      <c r="AE67" s="555"/>
      <c r="AF67" s="555"/>
      <c r="AG67" s="555"/>
      <c r="AH67" s="555"/>
      <c r="AI67" s="555"/>
      <c r="AJ67" s="555"/>
      <c r="AK67" s="555"/>
      <c r="AL67" s="555"/>
      <c r="AM67" s="555"/>
      <c r="AN67" s="555"/>
      <c r="AO67" s="555"/>
    </row>
    <row r="68" spans="1:41" ht="15.75">
      <c r="A68" s="517"/>
      <c r="B68" s="516"/>
      <c r="E68" s="586"/>
      <c r="F68" s="586"/>
      <c r="G68" s="586"/>
      <c r="H68" s="586"/>
      <c r="I68" s="586"/>
      <c r="J68" s="586"/>
      <c r="K68" s="586"/>
      <c r="L68" s="516"/>
      <c r="M68" s="586"/>
      <c r="N68" s="586"/>
      <c r="O68" s="586"/>
      <c r="P68" s="586"/>
      <c r="Q68" s="586"/>
      <c r="R68" s="516"/>
      <c r="S68" s="516"/>
      <c r="T68" s="516"/>
      <c r="U68" s="516"/>
      <c r="V68" s="516"/>
      <c r="W68" s="555"/>
      <c r="X68" s="555"/>
      <c r="Y68" s="555"/>
      <c r="Z68" s="555"/>
      <c r="AA68" s="555"/>
      <c r="AB68" s="555"/>
      <c r="AC68" s="555"/>
      <c r="AD68" s="555"/>
      <c r="AE68" s="555"/>
      <c r="AF68" s="555"/>
      <c r="AG68" s="555"/>
      <c r="AH68" s="555"/>
      <c r="AI68" s="555"/>
      <c r="AJ68" s="555"/>
      <c r="AK68" s="555"/>
      <c r="AL68" s="555"/>
      <c r="AM68" s="555"/>
      <c r="AN68" s="555"/>
      <c r="AO68" s="555"/>
    </row>
    <row r="69" spans="1:41" ht="15.75">
      <c r="A69" s="517"/>
      <c r="B69" s="516"/>
      <c r="E69" s="586"/>
      <c r="F69" s="586"/>
      <c r="G69" s="586"/>
      <c r="H69" s="586"/>
      <c r="I69" s="586"/>
      <c r="J69" s="586"/>
      <c r="K69" s="586"/>
      <c r="L69" s="516"/>
      <c r="M69" s="586"/>
      <c r="N69" s="586"/>
      <c r="O69" s="586"/>
      <c r="P69" s="586"/>
      <c r="Q69" s="586"/>
      <c r="R69" s="516"/>
      <c r="S69" s="516"/>
      <c r="T69" s="516"/>
      <c r="U69" s="516"/>
      <c r="V69" s="516"/>
      <c r="W69" s="555"/>
      <c r="X69" s="555"/>
      <c r="Y69" s="555"/>
      <c r="Z69" s="555"/>
      <c r="AA69" s="555"/>
      <c r="AB69" s="555"/>
      <c r="AC69" s="555"/>
      <c r="AD69" s="555"/>
      <c r="AE69" s="555"/>
      <c r="AF69" s="555"/>
      <c r="AG69" s="555"/>
      <c r="AH69" s="555"/>
      <c r="AI69" s="555"/>
      <c r="AJ69" s="555"/>
      <c r="AK69" s="555"/>
      <c r="AL69" s="555"/>
      <c r="AM69" s="555"/>
      <c r="AN69" s="555"/>
      <c r="AO69" s="555"/>
    </row>
    <row r="70" spans="1:41" ht="15.75">
      <c r="A70" s="517"/>
      <c r="B70" s="516"/>
      <c r="E70" s="586"/>
      <c r="F70" s="586"/>
      <c r="G70" s="586"/>
      <c r="H70" s="586"/>
      <c r="I70" s="586"/>
      <c r="J70" s="586"/>
      <c r="K70" s="586"/>
      <c r="L70" s="516"/>
      <c r="M70" s="586"/>
      <c r="N70" s="586"/>
      <c r="O70" s="586"/>
      <c r="P70" s="586"/>
      <c r="Q70" s="586"/>
      <c r="R70" s="516"/>
      <c r="S70" s="516"/>
      <c r="T70" s="516"/>
      <c r="U70" s="516"/>
      <c r="V70" s="516"/>
      <c r="W70" s="555"/>
      <c r="X70" s="555"/>
      <c r="Y70" s="555"/>
      <c r="Z70" s="555"/>
      <c r="AA70" s="555"/>
      <c r="AB70" s="555"/>
      <c r="AC70" s="555"/>
      <c r="AD70" s="555"/>
      <c r="AE70" s="555"/>
      <c r="AF70" s="555"/>
      <c r="AG70" s="555"/>
      <c r="AH70" s="555"/>
      <c r="AI70" s="555"/>
      <c r="AJ70" s="555"/>
      <c r="AK70" s="555"/>
      <c r="AL70" s="555"/>
      <c r="AM70" s="555"/>
      <c r="AN70" s="555"/>
      <c r="AO70" s="555"/>
    </row>
    <row r="71" spans="1:41" ht="15.75">
      <c r="A71" s="517"/>
      <c r="B71" s="516"/>
      <c r="E71" s="586"/>
      <c r="F71" s="586"/>
      <c r="G71" s="586"/>
      <c r="H71" s="586"/>
      <c r="I71" s="586"/>
      <c r="J71" s="586"/>
      <c r="K71" s="586"/>
      <c r="L71" s="516"/>
      <c r="M71" s="586"/>
      <c r="N71" s="586"/>
      <c r="O71" s="586"/>
      <c r="P71" s="586"/>
      <c r="Q71" s="586"/>
      <c r="R71" s="516"/>
      <c r="S71" s="516"/>
      <c r="T71" s="516"/>
      <c r="U71" s="516"/>
      <c r="V71" s="516"/>
      <c r="W71" s="555"/>
      <c r="X71" s="555"/>
      <c r="Y71" s="555"/>
      <c r="Z71" s="555"/>
      <c r="AA71" s="555"/>
      <c r="AB71" s="555"/>
      <c r="AC71" s="555"/>
      <c r="AD71" s="555"/>
      <c r="AE71" s="555"/>
      <c r="AF71" s="555"/>
      <c r="AG71" s="555"/>
      <c r="AH71" s="555"/>
      <c r="AI71" s="555"/>
      <c r="AJ71" s="555"/>
      <c r="AK71" s="555"/>
      <c r="AL71" s="555"/>
      <c r="AM71" s="555"/>
      <c r="AN71" s="555"/>
      <c r="AO71" s="555"/>
    </row>
    <row r="72" spans="1:41" ht="15.75">
      <c r="A72" s="517"/>
      <c r="B72" s="516"/>
      <c r="E72" s="586"/>
      <c r="F72" s="586"/>
      <c r="G72" s="586"/>
      <c r="H72" s="586"/>
      <c r="I72" s="586"/>
      <c r="J72" s="586"/>
      <c r="K72" s="586"/>
      <c r="L72" s="516"/>
      <c r="M72" s="586"/>
      <c r="N72" s="586"/>
      <c r="O72" s="586"/>
      <c r="P72" s="586"/>
      <c r="Q72" s="586"/>
      <c r="R72" s="516"/>
      <c r="S72" s="516"/>
      <c r="T72" s="516"/>
      <c r="U72" s="516"/>
      <c r="V72" s="516"/>
      <c r="W72" s="555"/>
      <c r="X72" s="555"/>
      <c r="Y72" s="555"/>
      <c r="Z72" s="555"/>
      <c r="AA72" s="555"/>
      <c r="AB72" s="555"/>
      <c r="AC72" s="555"/>
      <c r="AD72" s="555"/>
      <c r="AE72" s="555"/>
      <c r="AF72" s="555"/>
      <c r="AG72" s="555"/>
      <c r="AH72" s="555"/>
      <c r="AI72" s="555"/>
      <c r="AJ72" s="555"/>
      <c r="AK72" s="555"/>
      <c r="AL72" s="555"/>
      <c r="AM72" s="555"/>
      <c r="AN72" s="555"/>
      <c r="AO72" s="555"/>
    </row>
    <row r="73" spans="1:41" ht="15.75">
      <c r="A73" s="517"/>
      <c r="B73" s="516"/>
      <c r="E73" s="586"/>
      <c r="F73" s="586"/>
      <c r="G73" s="586"/>
      <c r="H73" s="586"/>
      <c r="I73" s="586"/>
      <c r="J73" s="586"/>
      <c r="K73" s="586"/>
      <c r="L73" s="516"/>
      <c r="M73" s="586"/>
      <c r="N73" s="586"/>
      <c r="O73" s="586"/>
      <c r="P73" s="586"/>
      <c r="Q73" s="586"/>
      <c r="R73" s="516"/>
      <c r="S73" s="516"/>
      <c r="T73" s="516"/>
      <c r="U73" s="516"/>
      <c r="V73" s="516"/>
      <c r="W73" s="555"/>
      <c r="X73" s="555"/>
      <c r="Y73" s="555"/>
      <c r="Z73" s="555"/>
      <c r="AA73" s="555"/>
      <c r="AB73" s="555"/>
      <c r="AC73" s="555"/>
      <c r="AD73" s="555"/>
      <c r="AE73" s="555"/>
      <c r="AF73" s="555"/>
      <c r="AG73" s="555"/>
      <c r="AH73" s="555"/>
      <c r="AI73" s="555"/>
      <c r="AJ73" s="555"/>
      <c r="AK73" s="555"/>
      <c r="AL73" s="555"/>
      <c r="AM73" s="555"/>
      <c r="AN73" s="555"/>
      <c r="AO73" s="555"/>
    </row>
    <row r="74" spans="1:41" ht="15.75">
      <c r="A74" s="517"/>
      <c r="B74" s="516"/>
      <c r="E74" s="586"/>
      <c r="F74" s="586"/>
      <c r="G74" s="586"/>
      <c r="H74" s="586"/>
      <c r="I74" s="586"/>
      <c r="J74" s="586"/>
      <c r="K74" s="586"/>
      <c r="L74" s="516"/>
      <c r="M74" s="586"/>
      <c r="N74" s="586"/>
      <c r="O74" s="586"/>
      <c r="P74" s="586"/>
      <c r="Q74" s="586"/>
      <c r="R74" s="516"/>
      <c r="S74" s="516"/>
      <c r="T74" s="516"/>
      <c r="U74" s="516"/>
      <c r="V74" s="516"/>
      <c r="W74" s="555"/>
      <c r="X74" s="555"/>
      <c r="Y74" s="555"/>
      <c r="Z74" s="555"/>
      <c r="AA74" s="555"/>
      <c r="AB74" s="555"/>
      <c r="AC74" s="555"/>
      <c r="AD74" s="555"/>
      <c r="AE74" s="555"/>
      <c r="AF74" s="555"/>
      <c r="AG74" s="555"/>
      <c r="AH74" s="555"/>
      <c r="AI74" s="555"/>
      <c r="AJ74" s="555"/>
      <c r="AK74" s="555"/>
      <c r="AL74" s="555"/>
      <c r="AM74" s="555"/>
      <c r="AN74" s="555"/>
      <c r="AO74" s="555"/>
    </row>
    <row r="75" spans="1:41" ht="15.75">
      <c r="A75" s="517"/>
      <c r="B75" s="516"/>
      <c r="E75" s="586"/>
      <c r="F75" s="586"/>
      <c r="G75" s="586"/>
      <c r="H75" s="586"/>
      <c r="I75" s="586"/>
      <c r="J75" s="586"/>
      <c r="K75" s="586"/>
      <c r="L75" s="516"/>
      <c r="M75" s="586"/>
      <c r="N75" s="586"/>
      <c r="O75" s="586"/>
      <c r="P75" s="586"/>
      <c r="Q75" s="586"/>
      <c r="R75" s="516"/>
      <c r="S75" s="516"/>
      <c r="T75" s="516"/>
      <c r="U75" s="516"/>
      <c r="V75" s="516"/>
      <c r="W75" s="555"/>
      <c r="X75" s="555"/>
      <c r="Y75" s="555"/>
      <c r="Z75" s="555"/>
      <c r="AA75" s="555"/>
      <c r="AB75" s="555"/>
      <c r="AC75" s="555"/>
      <c r="AD75" s="555"/>
      <c r="AE75" s="555"/>
      <c r="AF75" s="555"/>
      <c r="AG75" s="555"/>
      <c r="AH75" s="555"/>
      <c r="AI75" s="555"/>
      <c r="AJ75" s="555"/>
      <c r="AK75" s="555"/>
      <c r="AL75" s="555"/>
      <c r="AM75" s="555"/>
      <c r="AN75" s="555"/>
      <c r="AO75" s="555"/>
    </row>
    <row r="76" spans="1:41" ht="15.75">
      <c r="A76" s="517"/>
      <c r="B76" s="516"/>
      <c r="E76" s="586"/>
      <c r="F76" s="586"/>
      <c r="G76" s="586"/>
      <c r="H76" s="586"/>
      <c r="I76" s="586"/>
      <c r="J76" s="586"/>
      <c r="K76" s="586"/>
      <c r="L76" s="516"/>
      <c r="M76" s="586"/>
      <c r="N76" s="586"/>
      <c r="O76" s="586"/>
      <c r="P76" s="586"/>
      <c r="Q76" s="586"/>
      <c r="R76" s="516"/>
      <c r="S76" s="516"/>
      <c r="T76" s="516"/>
      <c r="U76" s="516"/>
      <c r="V76" s="516"/>
      <c r="W76" s="555"/>
      <c r="X76" s="555"/>
      <c r="Y76" s="555"/>
      <c r="Z76" s="555"/>
      <c r="AA76" s="555"/>
      <c r="AB76" s="555"/>
      <c r="AC76" s="555"/>
      <c r="AD76" s="555"/>
      <c r="AE76" s="555"/>
      <c r="AF76" s="555"/>
      <c r="AG76" s="555"/>
      <c r="AH76" s="555"/>
      <c r="AI76" s="555"/>
      <c r="AJ76" s="555"/>
      <c r="AK76" s="555"/>
      <c r="AL76" s="555"/>
      <c r="AM76" s="555"/>
      <c r="AN76" s="555"/>
      <c r="AO76" s="555"/>
    </row>
    <row r="77" spans="1:41" ht="15.75">
      <c r="A77" s="517"/>
      <c r="B77" s="516"/>
      <c r="E77" s="586"/>
      <c r="F77" s="586"/>
      <c r="G77" s="586"/>
      <c r="H77" s="586"/>
      <c r="I77" s="586"/>
      <c r="J77" s="586"/>
      <c r="K77" s="586"/>
      <c r="L77" s="516"/>
      <c r="M77" s="586"/>
      <c r="N77" s="586"/>
      <c r="O77" s="586"/>
      <c r="P77" s="586"/>
      <c r="Q77" s="586"/>
      <c r="R77" s="516"/>
      <c r="S77" s="516"/>
      <c r="T77" s="516"/>
      <c r="U77" s="516"/>
      <c r="V77" s="516"/>
      <c r="W77" s="555"/>
      <c r="X77" s="555"/>
      <c r="Y77" s="555"/>
      <c r="Z77" s="555"/>
      <c r="AA77" s="555"/>
      <c r="AB77" s="555"/>
      <c r="AC77" s="555"/>
      <c r="AD77" s="555"/>
      <c r="AE77" s="555"/>
      <c r="AF77" s="555"/>
      <c r="AG77" s="555"/>
      <c r="AH77" s="555"/>
      <c r="AI77" s="555"/>
      <c r="AJ77" s="555"/>
      <c r="AK77" s="555"/>
      <c r="AL77" s="555"/>
      <c r="AM77" s="555"/>
      <c r="AN77" s="555"/>
      <c r="AO77" s="555"/>
    </row>
    <row r="78" spans="1:41" ht="15.75">
      <c r="A78" s="517"/>
      <c r="B78" s="516"/>
      <c r="E78" s="586"/>
      <c r="F78" s="586"/>
      <c r="G78" s="586"/>
      <c r="H78" s="586"/>
      <c r="I78" s="586"/>
      <c r="J78" s="586"/>
      <c r="K78" s="586"/>
      <c r="L78" s="516"/>
      <c r="M78" s="586"/>
      <c r="N78" s="586"/>
      <c r="O78" s="586"/>
      <c r="P78" s="586"/>
      <c r="Q78" s="586"/>
      <c r="R78" s="516"/>
      <c r="S78" s="516"/>
      <c r="T78" s="516"/>
      <c r="U78" s="516"/>
      <c r="V78" s="516"/>
      <c r="W78" s="555"/>
      <c r="X78" s="555"/>
      <c r="Y78" s="555"/>
      <c r="Z78" s="555"/>
      <c r="AA78" s="555"/>
      <c r="AB78" s="555"/>
      <c r="AC78" s="555"/>
      <c r="AD78" s="555"/>
      <c r="AE78" s="555"/>
      <c r="AF78" s="555"/>
      <c r="AG78" s="555"/>
      <c r="AH78" s="555"/>
      <c r="AI78" s="555"/>
      <c r="AJ78" s="555"/>
      <c r="AK78" s="555"/>
      <c r="AL78" s="555"/>
      <c r="AM78" s="555"/>
      <c r="AN78" s="555"/>
      <c r="AO78" s="555"/>
    </row>
    <row r="79" spans="1:41" ht="15.75">
      <c r="A79" s="517"/>
      <c r="B79" s="516"/>
      <c r="E79" s="586"/>
      <c r="F79" s="586"/>
      <c r="G79" s="586"/>
      <c r="H79" s="586"/>
      <c r="I79" s="586"/>
      <c r="J79" s="586"/>
      <c r="K79" s="586"/>
      <c r="L79" s="516"/>
      <c r="M79" s="586"/>
      <c r="N79" s="586"/>
      <c r="O79" s="586"/>
      <c r="P79" s="586"/>
      <c r="Q79" s="586"/>
      <c r="R79" s="516"/>
      <c r="S79" s="516"/>
      <c r="T79" s="516"/>
      <c r="U79" s="516"/>
      <c r="V79" s="516"/>
      <c r="W79" s="555"/>
      <c r="X79" s="555"/>
      <c r="Y79" s="555"/>
      <c r="Z79" s="555"/>
      <c r="AA79" s="555"/>
      <c r="AB79" s="555"/>
      <c r="AC79" s="555"/>
      <c r="AD79" s="555"/>
      <c r="AE79" s="555"/>
      <c r="AF79" s="555"/>
      <c r="AG79" s="555"/>
      <c r="AH79" s="555"/>
      <c r="AI79" s="555"/>
      <c r="AJ79" s="555"/>
      <c r="AK79" s="555"/>
      <c r="AL79" s="555"/>
      <c r="AM79" s="555"/>
      <c r="AN79" s="555"/>
      <c r="AO79" s="555"/>
    </row>
    <row r="80" spans="1:41" ht="15.75">
      <c r="A80" s="517"/>
      <c r="B80" s="516"/>
      <c r="E80" s="586"/>
      <c r="F80" s="586"/>
      <c r="G80" s="586"/>
      <c r="H80" s="586"/>
      <c r="I80" s="586"/>
      <c r="J80" s="586"/>
      <c r="K80" s="586"/>
      <c r="L80" s="516"/>
      <c r="M80" s="586"/>
      <c r="N80" s="586"/>
      <c r="O80" s="586"/>
      <c r="P80" s="586"/>
      <c r="Q80" s="586"/>
      <c r="R80" s="516"/>
      <c r="S80" s="516"/>
      <c r="T80" s="516"/>
      <c r="U80" s="516"/>
      <c r="V80" s="516"/>
      <c r="W80" s="555"/>
      <c r="X80" s="555"/>
      <c r="Y80" s="555"/>
      <c r="Z80" s="555"/>
      <c r="AA80" s="555"/>
      <c r="AB80" s="555"/>
      <c r="AC80" s="555"/>
      <c r="AD80" s="555"/>
      <c r="AE80" s="555"/>
      <c r="AF80" s="555"/>
      <c r="AG80" s="555"/>
      <c r="AH80" s="555"/>
      <c r="AI80" s="555"/>
      <c r="AJ80" s="555"/>
      <c r="AK80" s="555"/>
      <c r="AL80" s="555"/>
      <c r="AM80" s="555"/>
      <c r="AN80" s="555"/>
      <c r="AO80" s="555"/>
    </row>
    <row r="81" spans="1:41" ht="15.75">
      <c r="A81" s="517"/>
      <c r="B81" s="516"/>
      <c r="E81" s="586"/>
      <c r="F81" s="586"/>
      <c r="G81" s="586"/>
      <c r="H81" s="586"/>
      <c r="I81" s="586"/>
      <c r="J81" s="586"/>
      <c r="K81" s="586"/>
      <c r="L81" s="516"/>
      <c r="M81" s="586"/>
      <c r="N81" s="586"/>
      <c r="O81" s="586"/>
      <c r="P81" s="586"/>
      <c r="Q81" s="586"/>
      <c r="R81" s="516"/>
      <c r="S81" s="516"/>
      <c r="T81" s="516"/>
      <c r="U81" s="516"/>
      <c r="V81" s="516"/>
      <c r="W81" s="555"/>
      <c r="X81" s="555"/>
      <c r="Y81" s="555"/>
      <c r="Z81" s="555"/>
      <c r="AA81" s="555"/>
      <c r="AB81" s="555"/>
      <c r="AC81" s="555"/>
      <c r="AD81" s="555"/>
      <c r="AE81" s="555"/>
      <c r="AF81" s="555"/>
      <c r="AG81" s="555"/>
      <c r="AH81" s="555"/>
      <c r="AI81" s="555"/>
      <c r="AJ81" s="555"/>
      <c r="AK81" s="555"/>
      <c r="AL81" s="555"/>
      <c r="AM81" s="555"/>
      <c r="AN81" s="555"/>
      <c r="AO81" s="555"/>
    </row>
    <row r="82" spans="1:41" ht="15.75">
      <c r="A82" s="517"/>
      <c r="B82" s="516"/>
      <c r="E82" s="586"/>
      <c r="F82" s="586"/>
      <c r="G82" s="586"/>
      <c r="H82" s="586"/>
      <c r="I82" s="586"/>
      <c r="J82" s="586"/>
      <c r="K82" s="586"/>
      <c r="L82" s="516"/>
      <c r="M82" s="586"/>
      <c r="N82" s="586"/>
      <c r="O82" s="586"/>
      <c r="P82" s="586"/>
      <c r="Q82" s="586"/>
      <c r="R82" s="516"/>
      <c r="S82" s="516"/>
      <c r="T82" s="516"/>
      <c r="U82" s="516"/>
      <c r="V82" s="516"/>
      <c r="W82" s="555"/>
      <c r="X82" s="555"/>
      <c r="Y82" s="555"/>
      <c r="Z82" s="555"/>
      <c r="AA82" s="555"/>
      <c r="AB82" s="555"/>
      <c r="AC82" s="555"/>
      <c r="AD82" s="555"/>
      <c r="AE82" s="555"/>
      <c r="AF82" s="555"/>
      <c r="AG82" s="555"/>
      <c r="AH82" s="555"/>
      <c r="AI82" s="555"/>
      <c r="AJ82" s="555"/>
      <c r="AK82" s="555"/>
      <c r="AL82" s="555"/>
      <c r="AM82" s="555"/>
      <c r="AN82" s="555"/>
      <c r="AO82" s="555"/>
    </row>
    <row r="83" spans="1:41" ht="15.75">
      <c r="A83" s="517"/>
      <c r="B83" s="516"/>
      <c r="E83" s="586"/>
      <c r="F83" s="586"/>
      <c r="G83" s="586"/>
      <c r="H83" s="586"/>
      <c r="I83" s="586"/>
      <c r="J83" s="586"/>
      <c r="K83" s="586"/>
      <c r="L83" s="516"/>
      <c r="M83" s="586"/>
      <c r="N83" s="586"/>
      <c r="O83" s="586"/>
      <c r="P83" s="586"/>
      <c r="Q83" s="586"/>
      <c r="R83" s="516"/>
      <c r="S83" s="516"/>
      <c r="T83" s="516"/>
      <c r="U83" s="516"/>
      <c r="V83" s="516"/>
      <c r="W83" s="555"/>
      <c r="X83" s="555"/>
      <c r="Y83" s="555"/>
      <c r="Z83" s="555"/>
      <c r="AA83" s="555"/>
      <c r="AB83" s="555"/>
      <c r="AC83" s="555"/>
      <c r="AD83" s="555"/>
      <c r="AE83" s="555"/>
      <c r="AF83" s="555"/>
      <c r="AG83" s="555"/>
      <c r="AH83" s="555"/>
      <c r="AI83" s="555"/>
      <c r="AJ83" s="555"/>
      <c r="AK83" s="555"/>
      <c r="AL83" s="555"/>
      <c r="AM83" s="555"/>
      <c r="AN83" s="555"/>
      <c r="AO83" s="555"/>
    </row>
    <row r="84" spans="1:41" ht="15.75">
      <c r="A84" s="517"/>
      <c r="B84" s="516"/>
      <c r="E84" s="586"/>
      <c r="F84" s="586"/>
      <c r="G84" s="586"/>
      <c r="H84" s="586"/>
      <c r="I84" s="586"/>
      <c r="J84" s="586"/>
      <c r="K84" s="586"/>
      <c r="L84" s="516"/>
      <c r="M84" s="586"/>
      <c r="N84" s="586"/>
      <c r="O84" s="586"/>
      <c r="P84" s="586"/>
      <c r="Q84" s="586"/>
      <c r="R84" s="516"/>
      <c r="S84" s="516"/>
      <c r="T84" s="516"/>
      <c r="U84" s="516"/>
      <c r="V84" s="516"/>
      <c r="W84" s="555"/>
      <c r="X84" s="555"/>
      <c r="Y84" s="555"/>
      <c r="Z84" s="555"/>
      <c r="AA84" s="555"/>
      <c r="AB84" s="555"/>
      <c r="AC84" s="555"/>
      <c r="AD84" s="555"/>
      <c r="AE84" s="555"/>
      <c r="AF84" s="555"/>
      <c r="AG84" s="555"/>
      <c r="AH84" s="555"/>
      <c r="AI84" s="555"/>
      <c r="AJ84" s="555"/>
      <c r="AK84" s="555"/>
      <c r="AL84" s="555"/>
      <c r="AM84" s="555"/>
      <c r="AN84" s="555"/>
      <c r="AO84" s="555"/>
    </row>
    <row r="85" spans="1:41" ht="15.75">
      <c r="A85" s="517"/>
      <c r="B85" s="516"/>
      <c r="E85" s="586"/>
      <c r="F85" s="586"/>
      <c r="G85" s="586"/>
      <c r="H85" s="586"/>
      <c r="I85" s="586"/>
      <c r="J85" s="586"/>
      <c r="K85" s="586"/>
      <c r="L85" s="516"/>
      <c r="M85" s="586"/>
      <c r="N85" s="586"/>
      <c r="O85" s="586"/>
      <c r="P85" s="586"/>
      <c r="Q85" s="586"/>
      <c r="R85" s="516"/>
      <c r="S85" s="516"/>
      <c r="T85" s="516"/>
      <c r="U85" s="516"/>
      <c r="V85" s="516"/>
      <c r="W85" s="555"/>
      <c r="X85" s="555"/>
      <c r="Y85" s="555"/>
      <c r="Z85" s="555"/>
      <c r="AA85" s="555"/>
      <c r="AB85" s="555"/>
      <c r="AC85" s="555"/>
      <c r="AD85" s="555"/>
      <c r="AE85" s="555"/>
      <c r="AF85" s="555"/>
      <c r="AG85" s="555"/>
      <c r="AH85" s="555"/>
      <c r="AI85" s="555"/>
      <c r="AJ85" s="555"/>
      <c r="AK85" s="555"/>
      <c r="AL85" s="555"/>
      <c r="AM85" s="555"/>
      <c r="AN85" s="555"/>
      <c r="AO85" s="555"/>
    </row>
    <row r="86" spans="1:41" ht="15.75">
      <c r="A86" s="517"/>
      <c r="B86" s="516"/>
      <c r="E86" s="586"/>
      <c r="F86" s="586"/>
      <c r="G86" s="586"/>
      <c r="H86" s="586"/>
      <c r="I86" s="586"/>
      <c r="J86" s="586"/>
      <c r="K86" s="586"/>
      <c r="L86" s="516"/>
      <c r="M86" s="586"/>
      <c r="N86" s="586"/>
      <c r="O86" s="586"/>
      <c r="P86" s="586"/>
      <c r="Q86" s="586"/>
      <c r="R86" s="516"/>
      <c r="S86" s="516"/>
      <c r="T86" s="516"/>
      <c r="U86" s="516"/>
      <c r="V86" s="516"/>
      <c r="W86" s="555"/>
      <c r="X86" s="555"/>
      <c r="Y86" s="555"/>
      <c r="Z86" s="555"/>
      <c r="AA86" s="555"/>
      <c r="AB86" s="555"/>
      <c r="AC86" s="555"/>
      <c r="AD86" s="555"/>
      <c r="AE86" s="555"/>
      <c r="AF86" s="555"/>
      <c r="AG86" s="555"/>
      <c r="AH86" s="555"/>
      <c r="AI86" s="555"/>
      <c r="AJ86" s="555"/>
      <c r="AK86" s="555"/>
      <c r="AL86" s="555"/>
      <c r="AM86" s="555"/>
      <c r="AN86" s="555"/>
      <c r="AO86" s="555"/>
    </row>
    <row r="87" spans="1:41" ht="15.75">
      <c r="A87" s="517"/>
      <c r="B87" s="516"/>
      <c r="E87" s="586"/>
      <c r="F87" s="586"/>
      <c r="G87" s="586"/>
      <c r="H87" s="586"/>
      <c r="I87" s="586"/>
      <c r="J87" s="586"/>
      <c r="K87" s="586"/>
      <c r="L87" s="516"/>
      <c r="M87" s="586"/>
      <c r="N87" s="586"/>
      <c r="O87" s="586"/>
      <c r="P87" s="586"/>
      <c r="Q87" s="586"/>
      <c r="R87" s="516"/>
      <c r="S87" s="516"/>
      <c r="T87" s="516"/>
      <c r="U87" s="516"/>
      <c r="V87" s="516"/>
      <c r="W87" s="555"/>
      <c r="X87" s="555"/>
      <c r="Y87" s="555"/>
      <c r="Z87" s="555"/>
      <c r="AA87" s="555"/>
      <c r="AB87" s="555"/>
      <c r="AC87" s="555"/>
      <c r="AD87" s="555"/>
      <c r="AE87" s="555"/>
      <c r="AF87" s="555"/>
      <c r="AG87" s="555"/>
      <c r="AH87" s="555"/>
      <c r="AI87" s="555"/>
      <c r="AJ87" s="555"/>
      <c r="AK87" s="555"/>
      <c r="AL87" s="555"/>
      <c r="AM87" s="555"/>
      <c r="AN87" s="555"/>
      <c r="AO87" s="555"/>
    </row>
    <row r="88" spans="1:41" ht="15.75">
      <c r="A88" s="517"/>
      <c r="B88" s="516"/>
      <c r="E88" s="586"/>
      <c r="F88" s="586"/>
      <c r="G88" s="586"/>
      <c r="H88" s="586"/>
      <c r="I88" s="586"/>
      <c r="J88" s="586"/>
      <c r="K88" s="586"/>
      <c r="L88" s="516"/>
      <c r="M88" s="586"/>
      <c r="N88" s="586"/>
      <c r="O88" s="586"/>
      <c r="P88" s="586"/>
      <c r="Q88" s="586"/>
      <c r="R88" s="516"/>
      <c r="S88" s="516"/>
      <c r="T88" s="516"/>
      <c r="U88" s="516"/>
      <c r="V88" s="516"/>
      <c r="W88" s="555"/>
      <c r="X88" s="555"/>
      <c r="Y88" s="555"/>
      <c r="Z88" s="555"/>
      <c r="AA88" s="555"/>
      <c r="AB88" s="555"/>
      <c r="AC88" s="555"/>
      <c r="AD88" s="555"/>
      <c r="AE88" s="555"/>
      <c r="AF88" s="555"/>
      <c r="AG88" s="555"/>
      <c r="AH88" s="555"/>
      <c r="AI88" s="555"/>
      <c r="AJ88" s="555"/>
      <c r="AK88" s="555"/>
      <c r="AL88" s="555"/>
      <c r="AM88" s="555"/>
      <c r="AN88" s="555"/>
      <c r="AO88" s="555"/>
    </row>
    <row r="89" spans="1:41" ht="15.75">
      <c r="A89" s="517"/>
      <c r="B89" s="516"/>
      <c r="E89" s="586"/>
      <c r="F89" s="586"/>
      <c r="G89" s="586"/>
      <c r="H89" s="586"/>
      <c r="I89" s="586"/>
      <c r="J89" s="586"/>
      <c r="K89" s="586"/>
      <c r="L89" s="516"/>
      <c r="M89" s="586"/>
      <c r="N89" s="586"/>
      <c r="O89" s="586"/>
      <c r="P89" s="586"/>
      <c r="Q89" s="586"/>
      <c r="R89" s="516"/>
      <c r="S89" s="516"/>
      <c r="T89" s="516"/>
      <c r="U89" s="516"/>
      <c r="V89" s="516"/>
      <c r="W89" s="555"/>
      <c r="X89" s="555"/>
      <c r="Y89" s="555"/>
      <c r="Z89" s="555"/>
      <c r="AA89" s="555"/>
      <c r="AB89" s="555"/>
      <c r="AC89" s="555"/>
      <c r="AD89" s="555"/>
      <c r="AE89" s="555"/>
      <c r="AF89" s="555"/>
      <c r="AG89" s="555"/>
      <c r="AH89" s="555"/>
      <c r="AI89" s="555"/>
      <c r="AJ89" s="555"/>
      <c r="AK89" s="555"/>
      <c r="AL89" s="555"/>
      <c r="AM89" s="555"/>
      <c r="AN89" s="555"/>
      <c r="AO89" s="555"/>
    </row>
    <row r="90" spans="1:41" ht="15.75">
      <c r="A90" s="517"/>
      <c r="B90" s="516"/>
      <c r="E90" s="586"/>
      <c r="F90" s="586"/>
      <c r="G90" s="586"/>
      <c r="H90" s="586"/>
      <c r="I90" s="586"/>
      <c r="J90" s="586"/>
      <c r="K90" s="586"/>
      <c r="L90" s="516"/>
      <c r="M90" s="586"/>
      <c r="N90" s="586"/>
      <c r="O90" s="586"/>
      <c r="P90" s="586"/>
      <c r="Q90" s="586"/>
      <c r="R90" s="516"/>
      <c r="S90" s="516"/>
      <c r="T90" s="516"/>
      <c r="U90" s="516"/>
      <c r="V90" s="516"/>
      <c r="W90" s="555"/>
      <c r="X90" s="555"/>
      <c r="Y90" s="555"/>
      <c r="Z90" s="555"/>
      <c r="AA90" s="555"/>
      <c r="AB90" s="555"/>
      <c r="AC90" s="555"/>
      <c r="AD90" s="555"/>
      <c r="AE90" s="555"/>
      <c r="AF90" s="555"/>
      <c r="AG90" s="555"/>
      <c r="AH90" s="555"/>
      <c r="AI90" s="555"/>
      <c r="AJ90" s="555"/>
      <c r="AK90" s="555"/>
      <c r="AL90" s="555"/>
      <c r="AM90" s="555"/>
      <c r="AN90" s="555"/>
      <c r="AO90" s="555"/>
    </row>
    <row r="91" spans="1:41" ht="15.75">
      <c r="A91" s="517"/>
      <c r="B91" s="516"/>
      <c r="E91" s="586"/>
      <c r="F91" s="586"/>
      <c r="G91" s="586"/>
      <c r="H91" s="586"/>
      <c r="I91" s="586"/>
      <c r="J91" s="586"/>
      <c r="K91" s="586"/>
      <c r="L91" s="516"/>
      <c r="M91" s="586"/>
      <c r="N91" s="586"/>
      <c r="O91" s="586"/>
      <c r="P91" s="586"/>
      <c r="Q91" s="586"/>
      <c r="R91" s="516"/>
      <c r="S91" s="516"/>
      <c r="T91" s="516"/>
      <c r="U91" s="516"/>
      <c r="V91" s="516"/>
      <c r="W91" s="555"/>
      <c r="X91" s="555"/>
      <c r="Y91" s="555"/>
      <c r="Z91" s="555"/>
      <c r="AA91" s="555"/>
      <c r="AB91" s="555"/>
      <c r="AC91" s="555"/>
      <c r="AD91" s="555"/>
      <c r="AE91" s="555"/>
      <c r="AF91" s="555"/>
      <c r="AG91" s="555"/>
      <c r="AH91" s="555"/>
      <c r="AI91" s="555"/>
      <c r="AJ91" s="555"/>
      <c r="AK91" s="555"/>
      <c r="AL91" s="555"/>
      <c r="AM91" s="555"/>
      <c r="AN91" s="555"/>
      <c r="AO91" s="555"/>
    </row>
    <row r="92" spans="1:41" ht="15.75">
      <c r="A92" s="517"/>
      <c r="B92" s="516"/>
      <c r="E92" s="586"/>
      <c r="F92" s="586"/>
      <c r="G92" s="586"/>
      <c r="H92" s="586"/>
      <c r="I92" s="586"/>
      <c r="J92" s="586"/>
      <c r="K92" s="586"/>
      <c r="L92" s="516"/>
      <c r="M92" s="586"/>
      <c r="N92" s="586"/>
      <c r="O92" s="586"/>
      <c r="P92" s="586"/>
      <c r="Q92" s="586"/>
      <c r="R92" s="516"/>
      <c r="S92" s="516"/>
      <c r="T92" s="516"/>
      <c r="U92" s="516"/>
      <c r="V92" s="516"/>
      <c r="W92" s="555"/>
      <c r="X92" s="555"/>
      <c r="Y92" s="555"/>
      <c r="Z92" s="555"/>
      <c r="AA92" s="555"/>
      <c r="AB92" s="555"/>
      <c r="AC92" s="555"/>
      <c r="AD92" s="555"/>
      <c r="AE92" s="555"/>
      <c r="AF92" s="555"/>
      <c r="AG92" s="555"/>
      <c r="AH92" s="555"/>
      <c r="AI92" s="555"/>
      <c r="AJ92" s="555"/>
      <c r="AK92" s="555"/>
      <c r="AL92" s="555"/>
      <c r="AM92" s="555"/>
      <c r="AN92" s="555"/>
      <c r="AO92" s="555"/>
    </row>
    <row r="93" spans="1:41" ht="15.75">
      <c r="A93" s="517"/>
      <c r="B93" s="516"/>
      <c r="E93" s="586"/>
      <c r="F93" s="586"/>
      <c r="G93" s="586"/>
      <c r="H93" s="586"/>
      <c r="I93" s="586"/>
      <c r="J93" s="586"/>
      <c r="K93" s="586"/>
      <c r="L93" s="516"/>
      <c r="M93" s="586"/>
      <c r="N93" s="586"/>
      <c r="O93" s="586"/>
      <c r="P93" s="586"/>
      <c r="Q93" s="586"/>
      <c r="R93" s="516"/>
      <c r="S93" s="516"/>
      <c r="T93" s="516"/>
      <c r="U93" s="516"/>
      <c r="V93" s="516"/>
      <c r="W93" s="555"/>
      <c r="X93" s="555"/>
      <c r="Y93" s="555"/>
      <c r="Z93" s="555"/>
      <c r="AA93" s="555"/>
      <c r="AB93" s="555"/>
      <c r="AC93" s="555"/>
      <c r="AD93" s="555"/>
      <c r="AE93" s="555"/>
      <c r="AF93" s="555"/>
      <c r="AG93" s="555"/>
      <c r="AH93" s="555"/>
      <c r="AI93" s="555"/>
      <c r="AJ93" s="555"/>
      <c r="AK93" s="555"/>
      <c r="AL93" s="555"/>
      <c r="AM93" s="555"/>
      <c r="AN93" s="555"/>
      <c r="AO93" s="555"/>
    </row>
    <row r="94" spans="1:41" ht="15.75">
      <c r="A94" s="517"/>
      <c r="B94" s="516"/>
      <c r="E94" s="586"/>
      <c r="F94" s="586"/>
      <c r="G94" s="586"/>
      <c r="H94" s="586"/>
      <c r="I94" s="586"/>
      <c r="J94" s="586"/>
      <c r="K94" s="586"/>
      <c r="L94" s="516"/>
      <c r="M94" s="586"/>
      <c r="N94" s="586"/>
      <c r="O94" s="586"/>
      <c r="P94" s="586"/>
      <c r="Q94" s="586"/>
      <c r="R94" s="516"/>
      <c r="S94" s="516"/>
      <c r="T94" s="516"/>
      <c r="U94" s="516"/>
      <c r="V94" s="516"/>
      <c r="W94" s="555"/>
      <c r="X94" s="555"/>
      <c r="Y94" s="555"/>
      <c r="Z94" s="555"/>
      <c r="AA94" s="555"/>
      <c r="AB94" s="555"/>
      <c r="AC94" s="555"/>
      <c r="AD94" s="555"/>
      <c r="AE94" s="555"/>
      <c r="AF94" s="555"/>
      <c r="AG94" s="555"/>
      <c r="AH94" s="555"/>
      <c r="AI94" s="555"/>
      <c r="AJ94" s="555"/>
      <c r="AK94" s="555"/>
      <c r="AL94" s="555"/>
      <c r="AM94" s="555"/>
      <c r="AN94" s="555"/>
      <c r="AO94" s="555"/>
    </row>
    <row r="95" spans="1:41" ht="15.75">
      <c r="A95" s="517"/>
      <c r="B95" s="516"/>
      <c r="E95" s="586"/>
      <c r="F95" s="586"/>
      <c r="G95" s="586"/>
      <c r="H95" s="586"/>
      <c r="I95" s="586"/>
      <c r="J95" s="586"/>
      <c r="K95" s="586"/>
      <c r="L95" s="516"/>
      <c r="M95" s="586"/>
      <c r="N95" s="586"/>
      <c r="O95" s="586"/>
      <c r="P95" s="586"/>
      <c r="Q95" s="586"/>
      <c r="R95" s="516"/>
      <c r="S95" s="516"/>
      <c r="T95" s="516"/>
      <c r="U95" s="516"/>
      <c r="V95" s="516"/>
      <c r="W95" s="555"/>
      <c r="X95" s="555"/>
      <c r="Y95" s="555"/>
      <c r="Z95" s="555"/>
      <c r="AA95" s="555"/>
      <c r="AB95" s="555"/>
      <c r="AC95" s="555"/>
      <c r="AD95" s="555"/>
      <c r="AE95" s="555"/>
      <c r="AF95" s="555"/>
      <c r="AG95" s="555"/>
      <c r="AH95" s="555"/>
      <c r="AI95" s="555"/>
      <c r="AJ95" s="555"/>
      <c r="AK95" s="555"/>
      <c r="AL95" s="555"/>
      <c r="AM95" s="555"/>
      <c r="AN95" s="555"/>
      <c r="AO95" s="555"/>
    </row>
    <row r="96" spans="1:41" ht="15.75">
      <c r="A96" s="517"/>
      <c r="B96" s="516"/>
      <c r="E96" s="586"/>
      <c r="F96" s="586"/>
      <c r="G96" s="586"/>
      <c r="H96" s="586"/>
      <c r="I96" s="586"/>
      <c r="J96" s="586"/>
      <c r="K96" s="586"/>
      <c r="L96" s="516"/>
      <c r="M96" s="586"/>
      <c r="N96" s="586"/>
      <c r="O96" s="586"/>
      <c r="P96" s="586"/>
      <c r="Q96" s="586"/>
      <c r="R96" s="516"/>
      <c r="S96" s="516"/>
      <c r="T96" s="516"/>
      <c r="U96" s="516"/>
      <c r="V96" s="516"/>
      <c r="W96" s="555"/>
      <c r="X96" s="555"/>
      <c r="Y96" s="555"/>
      <c r="Z96" s="555"/>
      <c r="AA96" s="555"/>
      <c r="AB96" s="555"/>
      <c r="AC96" s="555"/>
      <c r="AD96" s="555"/>
      <c r="AE96" s="555"/>
      <c r="AF96" s="555"/>
      <c r="AG96" s="555"/>
      <c r="AH96" s="555"/>
      <c r="AI96" s="555"/>
      <c r="AJ96" s="555"/>
      <c r="AK96" s="555"/>
      <c r="AL96" s="555"/>
      <c r="AM96" s="555"/>
      <c r="AN96" s="555"/>
      <c r="AO96" s="555"/>
    </row>
    <row r="97" spans="1:41" ht="15.75">
      <c r="A97" s="517"/>
      <c r="B97" s="516"/>
      <c r="E97" s="586"/>
      <c r="F97" s="586"/>
      <c r="G97" s="586"/>
      <c r="H97" s="586"/>
      <c r="I97" s="586"/>
      <c r="J97" s="586"/>
      <c r="K97" s="586"/>
      <c r="L97" s="516"/>
      <c r="M97" s="586"/>
      <c r="N97" s="586"/>
      <c r="O97" s="586"/>
      <c r="P97" s="586"/>
      <c r="Q97" s="586"/>
      <c r="R97" s="516"/>
      <c r="S97" s="516"/>
      <c r="T97" s="516"/>
      <c r="U97" s="516"/>
      <c r="V97" s="516"/>
      <c r="W97" s="555"/>
      <c r="X97" s="555"/>
      <c r="Y97" s="555"/>
      <c r="Z97" s="555"/>
      <c r="AA97" s="555"/>
      <c r="AB97" s="555"/>
      <c r="AC97" s="555"/>
      <c r="AD97" s="555"/>
      <c r="AE97" s="555"/>
      <c r="AF97" s="555"/>
      <c r="AG97" s="555"/>
      <c r="AH97" s="555"/>
      <c r="AI97" s="555"/>
      <c r="AJ97" s="555"/>
      <c r="AK97" s="555"/>
      <c r="AL97" s="555"/>
      <c r="AM97" s="555"/>
      <c r="AN97" s="555"/>
      <c r="AO97" s="555"/>
    </row>
    <row r="98" spans="1:41" ht="15.75">
      <c r="A98" s="517"/>
      <c r="B98" s="516"/>
      <c r="E98" s="586"/>
      <c r="F98" s="586"/>
      <c r="G98" s="586"/>
      <c r="H98" s="586"/>
      <c r="I98" s="586"/>
      <c r="J98" s="586"/>
      <c r="K98" s="586"/>
      <c r="L98" s="516"/>
      <c r="M98" s="586"/>
      <c r="N98" s="586"/>
      <c r="O98" s="586"/>
      <c r="P98" s="586"/>
      <c r="Q98" s="586"/>
      <c r="R98" s="516"/>
      <c r="S98" s="516"/>
      <c r="T98" s="516"/>
      <c r="U98" s="516"/>
      <c r="V98" s="516"/>
      <c r="W98" s="555"/>
      <c r="X98" s="555"/>
      <c r="Y98" s="555"/>
      <c r="Z98" s="555"/>
      <c r="AA98" s="555"/>
      <c r="AB98" s="555"/>
      <c r="AC98" s="555"/>
      <c r="AD98" s="555"/>
      <c r="AE98" s="555"/>
      <c r="AF98" s="555"/>
      <c r="AG98" s="555"/>
      <c r="AH98" s="555"/>
      <c r="AI98" s="555"/>
      <c r="AJ98" s="555"/>
      <c r="AK98" s="555"/>
      <c r="AL98" s="555"/>
      <c r="AM98" s="555"/>
      <c r="AN98" s="555"/>
      <c r="AO98" s="555"/>
    </row>
    <row r="99" spans="1:41" ht="15.75">
      <c r="A99" s="517"/>
      <c r="B99" s="516"/>
      <c r="E99" s="586"/>
      <c r="F99" s="586"/>
      <c r="G99" s="586"/>
      <c r="H99" s="586"/>
      <c r="I99" s="586"/>
      <c r="J99" s="586"/>
      <c r="K99" s="586"/>
      <c r="L99" s="516"/>
      <c r="M99" s="586"/>
      <c r="N99" s="586"/>
      <c r="O99" s="586"/>
      <c r="P99" s="586"/>
      <c r="Q99" s="586"/>
      <c r="R99" s="516"/>
      <c r="S99" s="516"/>
      <c r="T99" s="516"/>
      <c r="U99" s="516"/>
      <c r="V99" s="516"/>
      <c r="W99" s="555"/>
      <c r="X99" s="555"/>
      <c r="Y99" s="555"/>
      <c r="Z99" s="555"/>
      <c r="AA99" s="555"/>
      <c r="AB99" s="555"/>
      <c r="AC99" s="555"/>
      <c r="AD99" s="555"/>
      <c r="AE99" s="555"/>
      <c r="AF99" s="555"/>
      <c r="AG99" s="555"/>
      <c r="AH99" s="555"/>
      <c r="AI99" s="555"/>
      <c r="AJ99" s="555"/>
      <c r="AK99" s="555"/>
      <c r="AL99" s="555"/>
      <c r="AM99" s="555"/>
      <c r="AN99" s="555"/>
      <c r="AO99" s="555"/>
    </row>
    <row r="100" spans="1:41">
      <c r="A100" s="550"/>
      <c r="B100" s="550"/>
      <c r="C100" s="550"/>
      <c r="D100" s="550"/>
      <c r="E100" s="550"/>
      <c r="F100" s="550"/>
      <c r="G100" s="550"/>
      <c r="H100" s="550"/>
      <c r="I100" s="550"/>
      <c r="J100" s="550"/>
      <c r="K100" s="550"/>
      <c r="L100" s="550"/>
      <c r="M100" s="550"/>
      <c r="N100" s="550"/>
      <c r="O100" s="550"/>
      <c r="P100" s="550"/>
      <c r="Q100" s="550"/>
      <c r="R100" s="550"/>
      <c r="S100" s="550"/>
      <c r="T100" s="550"/>
      <c r="U100" s="550"/>
      <c r="V100" s="550"/>
      <c r="W100" s="555"/>
      <c r="X100" s="555"/>
      <c r="Y100" s="555"/>
      <c r="Z100" s="555"/>
      <c r="AA100" s="555"/>
      <c r="AB100" s="555"/>
      <c r="AC100" s="555"/>
      <c r="AD100" s="555"/>
      <c r="AE100" s="555"/>
      <c r="AF100" s="555"/>
      <c r="AG100" s="555"/>
      <c r="AH100" s="555"/>
      <c r="AI100" s="555"/>
      <c r="AJ100" s="555"/>
      <c r="AK100" s="555"/>
      <c r="AL100" s="555"/>
      <c r="AM100" s="555"/>
      <c r="AN100" s="555"/>
      <c r="AO100" s="555"/>
    </row>
    <row r="101" spans="1:41">
      <c r="A101" s="550"/>
      <c r="B101" s="550"/>
      <c r="C101" s="550"/>
      <c r="D101" s="550"/>
      <c r="E101" s="550"/>
      <c r="F101" s="550"/>
      <c r="G101" s="550"/>
      <c r="H101" s="550"/>
      <c r="I101" s="550"/>
      <c r="J101" s="550"/>
      <c r="K101" s="550"/>
      <c r="L101" s="550"/>
      <c r="M101" s="550"/>
      <c r="N101" s="550"/>
      <c r="O101" s="550"/>
      <c r="P101" s="550"/>
      <c r="Q101" s="550"/>
      <c r="R101" s="550"/>
      <c r="S101" s="550"/>
      <c r="T101" s="550"/>
      <c r="U101" s="550"/>
      <c r="V101" s="550"/>
      <c r="W101" s="555"/>
      <c r="X101" s="555"/>
      <c r="Y101" s="555"/>
      <c r="Z101" s="555"/>
      <c r="AA101" s="555"/>
      <c r="AB101" s="555"/>
      <c r="AC101" s="555"/>
      <c r="AD101" s="555"/>
      <c r="AE101" s="555"/>
      <c r="AF101" s="555"/>
      <c r="AG101" s="555"/>
      <c r="AH101" s="555"/>
      <c r="AI101" s="555"/>
      <c r="AJ101" s="555"/>
      <c r="AK101" s="555"/>
      <c r="AL101" s="555"/>
      <c r="AM101" s="555"/>
      <c r="AN101" s="555"/>
      <c r="AO101" s="555"/>
    </row>
    <row r="102" spans="1:41">
      <c r="A102" s="550"/>
      <c r="B102" s="550"/>
      <c r="C102" s="550"/>
      <c r="D102" s="550"/>
      <c r="E102" s="550"/>
      <c r="F102" s="550"/>
      <c r="G102" s="550"/>
      <c r="H102" s="550"/>
      <c r="I102" s="550"/>
      <c r="J102" s="550"/>
      <c r="K102" s="550"/>
      <c r="L102" s="550"/>
      <c r="M102" s="550"/>
      <c r="N102" s="550"/>
      <c r="O102" s="550"/>
      <c r="P102" s="550"/>
      <c r="Q102" s="550"/>
      <c r="R102" s="550"/>
      <c r="S102" s="550"/>
      <c r="T102" s="550"/>
      <c r="U102" s="550"/>
      <c r="V102" s="550"/>
      <c r="W102" s="555"/>
      <c r="X102" s="555"/>
      <c r="Y102" s="555"/>
      <c r="Z102" s="555"/>
      <c r="AA102" s="555"/>
      <c r="AB102" s="555"/>
      <c r="AC102" s="555"/>
      <c r="AD102" s="555"/>
      <c r="AE102" s="555"/>
      <c r="AF102" s="555"/>
      <c r="AG102" s="555"/>
      <c r="AH102" s="555"/>
      <c r="AI102" s="555"/>
      <c r="AJ102" s="555"/>
      <c r="AK102" s="555"/>
      <c r="AL102" s="555"/>
      <c r="AM102" s="555"/>
      <c r="AN102" s="555"/>
      <c r="AO102" s="555"/>
    </row>
    <row r="103" spans="1:41">
      <c r="A103" s="550"/>
      <c r="B103" s="550"/>
      <c r="C103" s="550"/>
      <c r="D103" s="550"/>
      <c r="E103" s="550"/>
      <c r="F103" s="550"/>
      <c r="G103" s="550"/>
      <c r="H103" s="550"/>
      <c r="I103" s="550"/>
      <c r="J103" s="550"/>
      <c r="K103" s="550"/>
      <c r="L103" s="550"/>
      <c r="M103" s="550"/>
      <c r="N103" s="550"/>
      <c r="O103" s="550"/>
      <c r="P103" s="550"/>
      <c r="Q103" s="550"/>
      <c r="R103" s="550"/>
      <c r="S103" s="550"/>
      <c r="T103" s="550"/>
      <c r="U103" s="550"/>
      <c r="V103" s="550"/>
    </row>
    <row r="104" spans="1:41">
      <c r="A104" s="550"/>
      <c r="B104" s="550"/>
      <c r="C104" s="550"/>
      <c r="D104" s="550"/>
      <c r="E104" s="550"/>
      <c r="F104" s="550"/>
      <c r="G104" s="550"/>
      <c r="H104" s="550"/>
      <c r="I104" s="550"/>
      <c r="J104" s="550"/>
      <c r="K104" s="550"/>
      <c r="L104" s="550"/>
      <c r="M104" s="550"/>
      <c r="N104" s="550"/>
      <c r="O104" s="550"/>
      <c r="P104" s="550"/>
      <c r="Q104" s="550"/>
      <c r="R104" s="550"/>
      <c r="S104" s="550"/>
      <c r="T104" s="550"/>
      <c r="U104" s="550"/>
      <c r="V104" s="550"/>
    </row>
    <row r="105" spans="1:41">
      <c r="A105" s="550"/>
      <c r="B105" s="550"/>
      <c r="C105" s="550"/>
      <c r="D105" s="550"/>
      <c r="E105" s="550"/>
      <c r="F105" s="550"/>
      <c r="G105" s="550"/>
      <c r="H105" s="550"/>
      <c r="I105" s="550"/>
      <c r="J105" s="550"/>
      <c r="K105" s="550"/>
      <c r="L105" s="550"/>
      <c r="M105" s="550"/>
      <c r="N105" s="550"/>
      <c r="O105" s="550"/>
      <c r="P105" s="550"/>
      <c r="Q105" s="550"/>
      <c r="R105" s="550"/>
      <c r="S105" s="550"/>
      <c r="T105" s="550"/>
      <c r="U105" s="550"/>
      <c r="V105" s="550"/>
    </row>
    <row r="106" spans="1:41">
      <c r="A106" s="550"/>
      <c r="B106" s="550"/>
      <c r="C106" s="550"/>
      <c r="D106" s="550"/>
      <c r="E106" s="550"/>
      <c r="F106" s="550"/>
      <c r="G106" s="550"/>
      <c r="H106" s="550"/>
      <c r="I106" s="550"/>
      <c r="J106" s="550"/>
      <c r="K106" s="550"/>
      <c r="L106" s="550"/>
      <c r="M106" s="550"/>
      <c r="N106" s="550"/>
      <c r="O106" s="550"/>
      <c r="P106" s="550"/>
      <c r="Q106" s="550"/>
      <c r="R106" s="550"/>
      <c r="S106" s="550"/>
      <c r="T106" s="550"/>
      <c r="U106" s="550"/>
      <c r="V106" s="550"/>
    </row>
    <row r="107" spans="1:41" ht="12.75" customHeight="1">
      <c r="A107" s="550"/>
      <c r="B107" s="550"/>
      <c r="C107" s="550"/>
      <c r="D107" s="550"/>
      <c r="E107" s="550"/>
      <c r="F107" s="550"/>
      <c r="G107" s="550"/>
      <c r="H107" s="550"/>
      <c r="I107" s="550"/>
      <c r="J107" s="550"/>
      <c r="K107" s="550"/>
      <c r="L107" s="550"/>
      <c r="M107" s="550"/>
      <c r="N107" s="550"/>
      <c r="O107" s="550"/>
      <c r="P107" s="550"/>
      <c r="Q107" s="550"/>
      <c r="R107" s="550"/>
      <c r="S107" s="550"/>
      <c r="T107" s="550"/>
      <c r="U107" s="550"/>
      <c r="V107" s="550"/>
    </row>
    <row r="108" spans="1:41" ht="12.75" customHeight="1">
      <c r="A108" s="550"/>
      <c r="B108" s="550"/>
      <c r="C108" s="550"/>
      <c r="D108" s="550"/>
      <c r="E108" s="550"/>
      <c r="F108" s="550"/>
      <c r="G108" s="550"/>
      <c r="H108" s="550"/>
      <c r="I108" s="550"/>
      <c r="J108" s="550"/>
      <c r="K108" s="550"/>
      <c r="L108" s="550"/>
      <c r="M108" s="550"/>
      <c r="N108" s="550"/>
      <c r="O108" s="550"/>
      <c r="P108" s="550"/>
      <c r="Q108" s="550"/>
      <c r="R108" s="550"/>
      <c r="S108" s="550"/>
      <c r="T108" s="550"/>
      <c r="U108" s="550"/>
      <c r="V108" s="550"/>
    </row>
    <row r="109" spans="1:41" ht="12.75" customHeight="1">
      <c r="A109" s="550"/>
      <c r="B109" s="550"/>
      <c r="C109" s="550"/>
      <c r="D109" s="550"/>
      <c r="E109" s="550"/>
      <c r="F109" s="550"/>
      <c r="G109" s="550"/>
      <c r="H109" s="550"/>
      <c r="I109" s="550"/>
      <c r="J109" s="550"/>
      <c r="K109" s="550"/>
      <c r="L109" s="550"/>
      <c r="M109" s="550"/>
      <c r="N109" s="550"/>
      <c r="O109" s="550"/>
      <c r="P109" s="550"/>
      <c r="Q109" s="550"/>
      <c r="R109" s="550"/>
      <c r="S109" s="550"/>
      <c r="T109" s="550"/>
      <c r="U109" s="550"/>
      <c r="V109" s="550"/>
    </row>
    <row r="110" spans="1:41" ht="12.75" customHeight="1">
      <c r="A110" s="550"/>
      <c r="B110" s="550"/>
      <c r="C110" s="550"/>
      <c r="D110" s="550"/>
      <c r="E110" s="550"/>
      <c r="F110" s="550"/>
      <c r="G110" s="550"/>
      <c r="H110" s="550"/>
      <c r="I110" s="550"/>
      <c r="J110" s="550"/>
      <c r="K110" s="550"/>
      <c r="L110" s="550"/>
      <c r="M110" s="550"/>
      <c r="N110" s="550"/>
      <c r="O110" s="550"/>
      <c r="P110" s="550"/>
      <c r="Q110" s="550"/>
      <c r="R110" s="550"/>
      <c r="S110" s="550"/>
      <c r="T110" s="550"/>
      <c r="U110" s="550"/>
      <c r="V110" s="550"/>
    </row>
    <row r="111" spans="1:41" ht="12.75" customHeight="1">
      <c r="A111" s="550"/>
      <c r="B111" s="550"/>
      <c r="C111" s="550"/>
      <c r="D111" s="550"/>
      <c r="E111" s="550"/>
      <c r="F111" s="550"/>
      <c r="G111" s="550"/>
      <c r="H111" s="550"/>
      <c r="I111" s="550"/>
      <c r="J111" s="550"/>
      <c r="K111" s="550"/>
      <c r="L111" s="550"/>
      <c r="M111" s="550"/>
      <c r="N111" s="550"/>
      <c r="O111" s="550"/>
      <c r="P111" s="550"/>
      <c r="Q111" s="550"/>
      <c r="R111" s="550"/>
      <c r="S111" s="550"/>
      <c r="T111" s="550"/>
      <c r="U111" s="550"/>
      <c r="V111" s="550"/>
    </row>
    <row r="112" spans="1:41" ht="12.75" customHeight="1">
      <c r="A112" s="550"/>
      <c r="B112" s="550"/>
      <c r="C112" s="550"/>
      <c r="D112" s="550"/>
      <c r="E112" s="550"/>
      <c r="F112" s="550"/>
      <c r="G112" s="550"/>
      <c r="H112" s="550"/>
      <c r="I112" s="550"/>
      <c r="J112" s="550"/>
      <c r="K112" s="550"/>
      <c r="L112" s="550"/>
      <c r="M112" s="550"/>
      <c r="N112" s="550"/>
      <c r="O112" s="550"/>
      <c r="P112" s="550"/>
      <c r="Q112" s="550"/>
      <c r="R112" s="550"/>
      <c r="S112" s="550"/>
      <c r="T112" s="550"/>
      <c r="U112" s="550"/>
      <c r="V112" s="550"/>
    </row>
    <row r="113" spans="1:22" ht="12.75" customHeight="1">
      <c r="A113" s="550"/>
      <c r="B113" s="550"/>
      <c r="C113" s="550"/>
      <c r="D113" s="550"/>
      <c r="E113" s="550"/>
      <c r="F113" s="550"/>
      <c r="G113" s="550"/>
      <c r="H113" s="550"/>
      <c r="I113" s="550"/>
      <c r="J113" s="550"/>
      <c r="K113" s="550"/>
      <c r="L113" s="550"/>
      <c r="M113" s="550"/>
      <c r="N113" s="550"/>
      <c r="O113" s="550"/>
      <c r="P113" s="550"/>
      <c r="Q113" s="550"/>
      <c r="R113" s="550"/>
      <c r="S113" s="550"/>
      <c r="T113" s="550"/>
      <c r="U113" s="550"/>
      <c r="V113" s="550"/>
    </row>
    <row r="114" spans="1:22" ht="12.75" customHeight="1">
      <c r="A114" s="550"/>
      <c r="B114" s="550"/>
      <c r="C114" s="550"/>
      <c r="D114" s="550"/>
      <c r="E114" s="550"/>
      <c r="F114" s="550"/>
      <c r="G114" s="550"/>
      <c r="H114" s="550"/>
      <c r="I114" s="550"/>
      <c r="J114" s="550"/>
      <c r="K114" s="550"/>
      <c r="L114" s="550"/>
      <c r="M114" s="550"/>
      <c r="N114" s="550"/>
      <c r="O114" s="550"/>
      <c r="P114" s="550"/>
      <c r="Q114" s="550"/>
      <c r="R114" s="550"/>
      <c r="S114" s="550"/>
      <c r="T114" s="550"/>
      <c r="U114" s="550"/>
      <c r="V114" s="550"/>
    </row>
    <row r="115" spans="1:22" ht="12.75" customHeight="1">
      <c r="A115" s="550"/>
      <c r="B115" s="550"/>
      <c r="C115" s="550"/>
      <c r="D115" s="550"/>
      <c r="E115" s="550"/>
      <c r="F115" s="550"/>
      <c r="G115" s="550"/>
      <c r="H115" s="550"/>
      <c r="I115" s="550"/>
      <c r="J115" s="550"/>
      <c r="K115" s="550"/>
      <c r="L115" s="550"/>
      <c r="M115" s="550"/>
      <c r="N115" s="550"/>
      <c r="O115" s="550"/>
      <c r="P115" s="550"/>
      <c r="Q115" s="550"/>
      <c r="R115" s="550"/>
      <c r="S115" s="550"/>
      <c r="T115" s="550"/>
      <c r="U115" s="550"/>
      <c r="V115" s="550"/>
    </row>
    <row r="116" spans="1:22" ht="12.75" customHeight="1">
      <c r="A116" s="550"/>
      <c r="B116" s="550"/>
      <c r="C116" s="550"/>
      <c r="D116" s="550"/>
      <c r="E116" s="550"/>
      <c r="F116" s="550"/>
      <c r="G116" s="550"/>
      <c r="H116" s="550"/>
      <c r="I116" s="550"/>
      <c r="J116" s="550"/>
      <c r="K116" s="550"/>
      <c r="L116" s="550"/>
      <c r="M116" s="550"/>
      <c r="N116" s="550"/>
      <c r="O116" s="550"/>
      <c r="P116" s="550"/>
      <c r="Q116" s="550"/>
      <c r="R116" s="550"/>
      <c r="S116" s="550"/>
      <c r="T116" s="550"/>
      <c r="U116" s="550"/>
      <c r="V116" s="550"/>
    </row>
    <row r="117" spans="1:22" ht="12.75" customHeight="1">
      <c r="A117" s="550"/>
      <c r="B117" s="550"/>
      <c r="C117" s="550"/>
      <c r="D117" s="550"/>
      <c r="E117" s="550"/>
      <c r="F117" s="550"/>
      <c r="G117" s="550"/>
      <c r="H117" s="550"/>
      <c r="I117" s="550"/>
      <c r="J117" s="550"/>
      <c r="K117" s="550"/>
      <c r="L117" s="550"/>
      <c r="M117" s="550"/>
      <c r="N117" s="550"/>
      <c r="O117" s="550"/>
      <c r="P117" s="550"/>
      <c r="Q117" s="550"/>
      <c r="R117" s="550"/>
      <c r="S117" s="550"/>
      <c r="T117" s="550"/>
      <c r="U117" s="550"/>
      <c r="V117" s="550"/>
    </row>
    <row r="118" spans="1:22">
      <c r="A118" s="550"/>
      <c r="B118" s="550"/>
      <c r="C118" s="550"/>
      <c r="D118" s="550"/>
      <c r="E118" s="550"/>
      <c r="F118" s="550"/>
      <c r="G118" s="550"/>
      <c r="H118" s="550"/>
      <c r="I118" s="550"/>
      <c r="J118" s="550"/>
      <c r="K118" s="550"/>
      <c r="L118" s="550"/>
      <c r="M118" s="550"/>
      <c r="N118" s="550"/>
      <c r="O118" s="550"/>
      <c r="P118" s="550"/>
      <c r="Q118" s="550"/>
      <c r="R118" s="550"/>
      <c r="S118" s="550"/>
      <c r="T118" s="550"/>
      <c r="U118" s="550"/>
      <c r="V118" s="550"/>
    </row>
    <row r="119" spans="1:22">
      <c r="A119" s="550"/>
      <c r="B119" s="550"/>
      <c r="C119" s="550"/>
      <c r="D119" s="550"/>
      <c r="E119" s="550"/>
      <c r="F119" s="550"/>
      <c r="G119" s="550"/>
      <c r="H119" s="550"/>
      <c r="I119" s="550"/>
      <c r="J119" s="550"/>
      <c r="K119" s="550"/>
      <c r="L119" s="550"/>
      <c r="M119" s="550"/>
      <c r="N119" s="550"/>
      <c r="O119" s="550"/>
      <c r="P119" s="550"/>
      <c r="Q119" s="550"/>
      <c r="R119" s="550"/>
      <c r="S119" s="550"/>
      <c r="T119" s="550"/>
      <c r="U119" s="550"/>
      <c r="V119" s="550"/>
    </row>
    <row r="120" spans="1:22">
      <c r="A120" s="550"/>
      <c r="B120" s="550"/>
      <c r="C120" s="550"/>
      <c r="D120" s="550"/>
      <c r="E120" s="550"/>
      <c r="F120" s="550"/>
      <c r="G120" s="550"/>
      <c r="H120" s="550"/>
      <c r="I120" s="550"/>
      <c r="J120" s="550"/>
      <c r="K120" s="550"/>
      <c r="L120" s="550"/>
      <c r="M120" s="550"/>
      <c r="N120" s="550"/>
      <c r="O120" s="550"/>
      <c r="P120" s="550"/>
      <c r="Q120" s="550"/>
      <c r="R120" s="550"/>
      <c r="S120" s="550"/>
      <c r="T120" s="550"/>
      <c r="U120" s="550"/>
      <c r="V120" s="550"/>
    </row>
    <row r="121" spans="1:22">
      <c r="A121" s="550"/>
      <c r="B121" s="550"/>
      <c r="C121" s="550"/>
      <c r="D121" s="550"/>
      <c r="E121" s="550"/>
      <c r="F121" s="550"/>
      <c r="G121" s="550"/>
      <c r="H121" s="550"/>
      <c r="I121" s="550"/>
      <c r="J121" s="550"/>
      <c r="K121" s="550"/>
      <c r="L121" s="550"/>
      <c r="M121" s="550"/>
      <c r="N121" s="550"/>
      <c r="O121" s="550"/>
      <c r="P121" s="550"/>
      <c r="Q121" s="550"/>
      <c r="R121" s="550"/>
      <c r="S121" s="550"/>
      <c r="T121" s="550"/>
      <c r="U121" s="550"/>
      <c r="V121" s="550"/>
    </row>
    <row r="122" spans="1:22">
      <c r="A122" s="550"/>
      <c r="B122" s="550"/>
      <c r="C122" s="550"/>
      <c r="D122" s="550"/>
      <c r="E122" s="550"/>
      <c r="F122" s="550"/>
      <c r="G122" s="550"/>
      <c r="H122" s="550"/>
      <c r="I122" s="550"/>
      <c r="J122" s="550"/>
      <c r="K122" s="550"/>
      <c r="L122" s="550"/>
      <c r="M122" s="550"/>
      <c r="N122" s="550"/>
      <c r="O122" s="550"/>
      <c r="P122" s="550"/>
      <c r="Q122" s="550"/>
      <c r="R122" s="550"/>
      <c r="S122" s="550"/>
      <c r="T122" s="550"/>
      <c r="U122" s="550"/>
      <c r="V122" s="550"/>
    </row>
    <row r="123" spans="1:22">
      <c r="A123" s="550"/>
      <c r="B123" s="550"/>
      <c r="C123" s="550"/>
      <c r="D123" s="550"/>
      <c r="E123" s="550"/>
      <c r="F123" s="550"/>
      <c r="G123" s="550"/>
      <c r="H123" s="550"/>
      <c r="I123" s="550"/>
      <c r="J123" s="550"/>
      <c r="K123" s="550"/>
      <c r="L123" s="550"/>
      <c r="M123" s="550"/>
      <c r="N123" s="550"/>
      <c r="O123" s="550"/>
      <c r="P123" s="550"/>
      <c r="Q123" s="550"/>
      <c r="R123" s="550"/>
      <c r="S123" s="550"/>
      <c r="T123" s="550"/>
      <c r="U123" s="550"/>
      <c r="V123" s="550"/>
    </row>
    <row r="124" spans="1:22">
      <c r="A124" s="550"/>
      <c r="B124" s="550"/>
      <c r="C124" s="550"/>
      <c r="D124" s="550"/>
      <c r="E124" s="550"/>
      <c r="F124" s="550"/>
      <c r="G124" s="550"/>
      <c r="H124" s="550"/>
      <c r="I124" s="550"/>
      <c r="J124" s="550"/>
      <c r="K124" s="550"/>
      <c r="L124" s="550"/>
      <c r="M124" s="550"/>
      <c r="N124" s="550"/>
      <c r="O124" s="550"/>
      <c r="P124" s="550"/>
      <c r="Q124" s="550"/>
      <c r="R124" s="550"/>
      <c r="S124" s="550"/>
      <c r="T124" s="550"/>
      <c r="U124" s="550"/>
      <c r="V124" s="550"/>
    </row>
    <row r="125" spans="1:22">
      <c r="A125" s="550"/>
      <c r="B125" s="550"/>
      <c r="C125" s="550"/>
      <c r="D125" s="550"/>
      <c r="E125" s="550"/>
      <c r="F125" s="550"/>
      <c r="G125" s="550"/>
      <c r="H125" s="550"/>
      <c r="I125" s="550"/>
      <c r="J125" s="550"/>
      <c r="K125" s="550"/>
      <c r="L125" s="550"/>
      <c r="M125" s="550"/>
      <c r="N125" s="550"/>
      <c r="O125" s="550"/>
      <c r="P125" s="550"/>
      <c r="Q125" s="550"/>
      <c r="R125" s="550"/>
      <c r="S125" s="550"/>
      <c r="T125" s="550"/>
      <c r="U125" s="550"/>
      <c r="V125" s="550"/>
    </row>
    <row r="126" spans="1:22">
      <c r="A126" s="550"/>
      <c r="B126" s="550"/>
      <c r="C126" s="550"/>
      <c r="D126" s="550"/>
      <c r="E126" s="550"/>
      <c r="F126" s="550"/>
      <c r="G126" s="550"/>
      <c r="H126" s="550"/>
      <c r="I126" s="550"/>
      <c r="J126" s="550"/>
      <c r="K126" s="550"/>
      <c r="L126" s="550"/>
      <c r="M126" s="550"/>
      <c r="N126" s="550"/>
      <c r="O126" s="550"/>
      <c r="P126" s="550"/>
      <c r="Q126" s="550"/>
      <c r="R126" s="550"/>
      <c r="S126" s="550"/>
      <c r="T126" s="550"/>
      <c r="U126" s="550"/>
      <c r="V126" s="550"/>
    </row>
    <row r="127" spans="1:22">
      <c r="A127" s="550"/>
      <c r="B127" s="550"/>
      <c r="C127" s="550"/>
      <c r="D127" s="550"/>
      <c r="E127" s="550"/>
      <c r="F127" s="550"/>
      <c r="G127" s="550"/>
      <c r="H127" s="550"/>
      <c r="I127" s="550"/>
      <c r="J127" s="550"/>
      <c r="K127" s="550"/>
      <c r="L127" s="550"/>
      <c r="M127" s="550"/>
      <c r="N127" s="550"/>
      <c r="O127" s="550"/>
      <c r="P127" s="550"/>
      <c r="Q127" s="550"/>
      <c r="R127" s="550"/>
      <c r="S127" s="550"/>
      <c r="T127" s="550"/>
      <c r="U127" s="550"/>
      <c r="V127" s="550"/>
    </row>
    <row r="128" spans="1:22">
      <c r="A128" s="550"/>
      <c r="B128" s="550"/>
      <c r="C128" s="550"/>
      <c r="D128" s="550"/>
      <c r="E128" s="550"/>
      <c r="F128" s="550"/>
      <c r="G128" s="550"/>
      <c r="H128" s="550"/>
      <c r="I128" s="550"/>
      <c r="J128" s="550"/>
      <c r="K128" s="550"/>
      <c r="L128" s="550"/>
      <c r="M128" s="550"/>
      <c r="N128" s="550"/>
      <c r="O128" s="550"/>
      <c r="P128" s="550"/>
      <c r="Q128" s="550"/>
      <c r="R128" s="550"/>
      <c r="S128" s="550"/>
      <c r="T128" s="550"/>
      <c r="U128" s="550"/>
      <c r="V128" s="550"/>
    </row>
    <row r="129" spans="1:22">
      <c r="A129" s="550"/>
      <c r="B129" s="550"/>
      <c r="C129" s="550"/>
      <c r="D129" s="550"/>
      <c r="E129" s="550"/>
      <c r="F129" s="550"/>
      <c r="G129" s="550"/>
      <c r="H129" s="550"/>
      <c r="I129" s="550"/>
      <c r="J129" s="550"/>
      <c r="K129" s="550"/>
      <c r="L129" s="550"/>
      <c r="M129" s="550"/>
      <c r="N129" s="550"/>
      <c r="O129" s="550"/>
      <c r="P129" s="550"/>
      <c r="Q129" s="550"/>
      <c r="R129" s="550"/>
      <c r="S129" s="550"/>
      <c r="T129" s="550"/>
      <c r="U129" s="550"/>
      <c r="V129" s="550"/>
    </row>
    <row r="130" spans="1:22">
      <c r="A130" s="550"/>
      <c r="B130" s="550"/>
      <c r="C130" s="550"/>
      <c r="D130" s="550"/>
      <c r="E130" s="550"/>
      <c r="F130" s="550"/>
      <c r="G130" s="550"/>
      <c r="H130" s="550"/>
      <c r="I130" s="550"/>
      <c r="J130" s="550"/>
      <c r="K130" s="550"/>
      <c r="L130" s="550"/>
      <c r="M130" s="550"/>
      <c r="N130" s="550"/>
      <c r="O130" s="550"/>
      <c r="P130" s="550"/>
      <c r="Q130" s="550"/>
      <c r="R130" s="550"/>
      <c r="S130" s="550"/>
      <c r="T130" s="550"/>
      <c r="U130" s="550"/>
      <c r="V130" s="550"/>
    </row>
    <row r="131" spans="1:22">
      <c r="A131" s="550"/>
      <c r="B131" s="550"/>
      <c r="C131" s="550"/>
      <c r="D131" s="550"/>
      <c r="E131" s="550"/>
      <c r="F131" s="550"/>
      <c r="G131" s="550"/>
      <c r="H131" s="550"/>
      <c r="I131" s="550"/>
      <c r="J131" s="550"/>
      <c r="K131" s="550"/>
      <c r="L131" s="550"/>
      <c r="M131" s="550"/>
      <c r="N131" s="550"/>
      <c r="O131" s="550"/>
      <c r="P131" s="550"/>
      <c r="Q131" s="550"/>
      <c r="R131" s="550"/>
      <c r="S131" s="550"/>
      <c r="T131" s="550"/>
      <c r="U131" s="550"/>
      <c r="V131" s="550"/>
    </row>
    <row r="132" spans="1:22">
      <c r="A132" s="550"/>
      <c r="B132" s="550"/>
      <c r="C132" s="550"/>
      <c r="D132" s="550"/>
      <c r="E132" s="550"/>
      <c r="F132" s="550"/>
      <c r="G132" s="550"/>
      <c r="H132" s="550"/>
      <c r="I132" s="550"/>
      <c r="J132" s="550"/>
      <c r="K132" s="550"/>
      <c r="L132" s="550"/>
      <c r="M132" s="550"/>
      <c r="N132" s="550"/>
      <c r="O132" s="550"/>
      <c r="P132" s="550"/>
      <c r="Q132" s="550"/>
      <c r="R132" s="550"/>
      <c r="S132" s="550"/>
      <c r="T132" s="550"/>
      <c r="U132" s="550"/>
      <c r="V132" s="550"/>
    </row>
    <row r="133" spans="1:22">
      <c r="A133" s="550"/>
      <c r="B133" s="550"/>
      <c r="C133" s="550"/>
      <c r="D133" s="550"/>
      <c r="E133" s="550"/>
      <c r="F133" s="550"/>
      <c r="G133" s="550"/>
      <c r="H133" s="550"/>
      <c r="I133" s="550"/>
      <c r="J133" s="550"/>
      <c r="K133" s="550"/>
      <c r="L133" s="550"/>
      <c r="M133" s="550"/>
      <c r="N133" s="550"/>
      <c r="O133" s="550"/>
      <c r="P133" s="550"/>
      <c r="Q133" s="550"/>
      <c r="R133" s="550"/>
      <c r="S133" s="550"/>
      <c r="T133" s="550"/>
      <c r="U133" s="550"/>
      <c r="V133" s="550"/>
    </row>
    <row r="134" spans="1:22">
      <c r="A134" s="550"/>
      <c r="B134" s="550"/>
      <c r="C134" s="550"/>
      <c r="D134" s="550"/>
      <c r="E134" s="550"/>
      <c r="F134" s="550"/>
      <c r="G134" s="550"/>
      <c r="H134" s="550"/>
      <c r="I134" s="550"/>
      <c r="J134" s="550"/>
      <c r="K134" s="550"/>
      <c r="L134" s="550"/>
      <c r="M134" s="550"/>
      <c r="N134" s="550"/>
      <c r="O134" s="550"/>
      <c r="P134" s="550"/>
      <c r="Q134" s="550"/>
      <c r="R134" s="550"/>
      <c r="S134" s="550"/>
      <c r="T134" s="550"/>
      <c r="U134" s="550"/>
      <c r="V134" s="550"/>
    </row>
    <row r="135" spans="1:22">
      <c r="A135" s="550"/>
      <c r="B135" s="550"/>
      <c r="C135" s="550"/>
      <c r="D135" s="550"/>
      <c r="E135" s="550"/>
      <c r="F135" s="550"/>
      <c r="G135" s="550"/>
      <c r="H135" s="550"/>
      <c r="I135" s="550"/>
      <c r="J135" s="550"/>
      <c r="K135" s="550"/>
      <c r="L135" s="550"/>
      <c r="M135" s="550"/>
      <c r="N135" s="550"/>
      <c r="O135" s="550"/>
      <c r="P135" s="550"/>
      <c r="Q135" s="550"/>
      <c r="R135" s="550"/>
      <c r="S135" s="550"/>
      <c r="T135" s="550"/>
      <c r="U135" s="550"/>
      <c r="V135" s="550"/>
    </row>
    <row r="136" spans="1:22">
      <c r="A136" s="550"/>
      <c r="B136" s="550"/>
      <c r="C136" s="550"/>
      <c r="D136" s="550"/>
      <c r="E136" s="550"/>
      <c r="F136" s="550"/>
      <c r="G136" s="550"/>
      <c r="H136" s="550"/>
      <c r="I136" s="550"/>
      <c r="J136" s="550"/>
      <c r="K136" s="550"/>
      <c r="L136" s="550"/>
      <c r="M136" s="550"/>
      <c r="N136" s="550"/>
      <c r="O136" s="550"/>
      <c r="P136" s="550"/>
      <c r="Q136" s="550"/>
      <c r="R136" s="550"/>
      <c r="S136" s="550"/>
      <c r="T136" s="550"/>
      <c r="U136" s="550"/>
      <c r="V136" s="550"/>
    </row>
    <row r="137" spans="1:22">
      <c r="A137" s="550"/>
      <c r="B137" s="550"/>
      <c r="C137" s="550"/>
      <c r="D137" s="550"/>
      <c r="E137" s="550"/>
      <c r="F137" s="550"/>
      <c r="G137" s="550"/>
      <c r="H137" s="550"/>
      <c r="I137" s="550"/>
      <c r="J137" s="550"/>
      <c r="K137" s="550"/>
      <c r="L137" s="550"/>
      <c r="M137" s="550"/>
      <c r="N137" s="550"/>
      <c r="O137" s="550"/>
      <c r="P137" s="550"/>
      <c r="Q137" s="550"/>
      <c r="R137" s="550"/>
      <c r="S137" s="550"/>
      <c r="T137" s="550"/>
      <c r="U137" s="550"/>
      <c r="V137" s="550"/>
    </row>
    <row r="138" spans="1:22" ht="12.75" customHeight="1">
      <c r="A138" s="550"/>
      <c r="B138" s="550"/>
      <c r="C138" s="550"/>
      <c r="D138" s="550"/>
      <c r="E138" s="550"/>
      <c r="F138" s="550"/>
      <c r="G138" s="550"/>
      <c r="H138" s="550"/>
      <c r="I138" s="550"/>
      <c r="J138" s="550"/>
      <c r="K138" s="550"/>
      <c r="L138" s="550"/>
      <c r="M138" s="550"/>
      <c r="N138" s="550"/>
      <c r="O138" s="550"/>
      <c r="P138" s="550"/>
      <c r="Q138" s="550"/>
      <c r="R138" s="550"/>
      <c r="S138" s="550"/>
      <c r="T138" s="550"/>
      <c r="U138" s="550"/>
      <c r="V138" s="550"/>
    </row>
    <row r="139" spans="1:22" ht="12.75" customHeight="1">
      <c r="A139" s="550"/>
      <c r="B139" s="550"/>
      <c r="C139" s="550"/>
      <c r="D139" s="550"/>
      <c r="E139" s="550"/>
      <c r="F139" s="550"/>
      <c r="G139" s="550"/>
      <c r="H139" s="550"/>
      <c r="I139" s="550"/>
      <c r="J139" s="550"/>
      <c r="K139" s="550"/>
      <c r="L139" s="550"/>
      <c r="M139" s="550"/>
      <c r="N139" s="550"/>
      <c r="O139" s="550"/>
      <c r="P139" s="550"/>
      <c r="Q139" s="550"/>
      <c r="R139" s="550"/>
      <c r="S139" s="550"/>
      <c r="T139" s="550"/>
      <c r="U139" s="550"/>
      <c r="V139" s="550"/>
    </row>
    <row r="140" spans="1:22" ht="12.75" customHeight="1">
      <c r="A140" s="550"/>
      <c r="B140" s="550"/>
      <c r="C140" s="550"/>
      <c r="D140" s="550"/>
      <c r="E140" s="550"/>
      <c r="F140" s="550"/>
      <c r="G140" s="550"/>
      <c r="H140" s="550"/>
      <c r="I140" s="550"/>
      <c r="J140" s="550"/>
      <c r="K140" s="550"/>
      <c r="L140" s="550"/>
      <c r="M140" s="550"/>
      <c r="N140" s="550"/>
      <c r="O140" s="550"/>
      <c r="P140" s="550"/>
      <c r="Q140" s="550"/>
      <c r="R140" s="550"/>
      <c r="S140" s="550"/>
      <c r="T140" s="550"/>
      <c r="U140" s="550"/>
      <c r="V140" s="550"/>
    </row>
    <row r="141" spans="1:22">
      <c r="A141" s="550"/>
      <c r="B141" s="550"/>
      <c r="C141" s="550"/>
      <c r="D141" s="550"/>
      <c r="E141" s="550"/>
      <c r="F141" s="550"/>
      <c r="G141" s="550"/>
      <c r="H141" s="550"/>
      <c r="I141" s="550"/>
      <c r="J141" s="550"/>
      <c r="K141" s="550"/>
      <c r="L141" s="550"/>
      <c r="M141" s="550"/>
      <c r="N141" s="550"/>
      <c r="O141" s="550"/>
      <c r="P141" s="550"/>
      <c r="Q141" s="550"/>
      <c r="R141" s="550"/>
      <c r="S141" s="550"/>
      <c r="T141" s="550"/>
      <c r="U141" s="550"/>
      <c r="V141" s="550"/>
    </row>
    <row r="142" spans="1:22">
      <c r="A142" s="550"/>
      <c r="B142" s="550"/>
      <c r="C142" s="550"/>
      <c r="D142" s="550"/>
      <c r="E142" s="550"/>
      <c r="F142" s="550"/>
      <c r="G142" s="550"/>
      <c r="H142" s="550"/>
      <c r="I142" s="550"/>
      <c r="J142" s="550"/>
      <c r="K142" s="550"/>
      <c r="L142" s="550"/>
      <c r="M142" s="550"/>
      <c r="N142" s="550"/>
      <c r="O142" s="550"/>
      <c r="P142" s="550"/>
      <c r="Q142" s="550"/>
      <c r="R142" s="550"/>
      <c r="S142" s="550"/>
      <c r="T142" s="550"/>
      <c r="U142" s="550"/>
      <c r="V142" s="550"/>
    </row>
    <row r="143" spans="1:22">
      <c r="A143" s="550"/>
      <c r="B143" s="550"/>
      <c r="C143" s="550"/>
      <c r="D143" s="550"/>
      <c r="E143" s="550"/>
      <c r="F143" s="550"/>
      <c r="G143" s="550"/>
      <c r="H143" s="550"/>
      <c r="I143" s="550"/>
      <c r="J143" s="550"/>
      <c r="K143" s="550"/>
      <c r="L143" s="550"/>
      <c r="M143" s="550"/>
      <c r="N143" s="550"/>
      <c r="O143" s="550"/>
      <c r="P143" s="550"/>
      <c r="Q143" s="550"/>
      <c r="R143" s="550"/>
      <c r="S143" s="550"/>
      <c r="T143" s="550"/>
      <c r="U143" s="550"/>
      <c r="V143" s="550"/>
    </row>
    <row r="144" spans="1:22">
      <c r="A144" s="550"/>
      <c r="B144" s="550"/>
      <c r="C144" s="550"/>
      <c r="D144" s="550"/>
      <c r="E144" s="550"/>
      <c r="F144" s="550"/>
      <c r="G144" s="550"/>
      <c r="H144" s="550"/>
      <c r="I144" s="550"/>
      <c r="J144" s="550"/>
      <c r="K144" s="550"/>
      <c r="L144" s="550"/>
      <c r="M144" s="550"/>
      <c r="N144" s="550"/>
      <c r="O144" s="550"/>
      <c r="P144" s="550"/>
      <c r="Q144" s="550"/>
      <c r="R144" s="550"/>
      <c r="S144" s="550"/>
      <c r="T144" s="550"/>
      <c r="U144" s="550"/>
      <c r="V144" s="550"/>
    </row>
    <row r="145" spans="1:22">
      <c r="A145" s="550"/>
      <c r="B145" s="550"/>
      <c r="C145" s="550"/>
      <c r="D145" s="550"/>
      <c r="E145" s="550"/>
      <c r="F145" s="550"/>
      <c r="G145" s="550"/>
      <c r="H145" s="550"/>
      <c r="I145" s="550"/>
      <c r="J145" s="550"/>
      <c r="K145" s="550"/>
      <c r="L145" s="550"/>
      <c r="M145" s="550"/>
      <c r="N145" s="550"/>
      <c r="O145" s="550"/>
      <c r="P145" s="550"/>
      <c r="Q145" s="550"/>
      <c r="R145" s="550"/>
      <c r="S145" s="550"/>
      <c r="T145" s="550"/>
      <c r="U145" s="550"/>
      <c r="V145" s="550"/>
    </row>
    <row r="146" spans="1:22">
      <c r="A146" s="550"/>
      <c r="B146" s="550"/>
      <c r="C146" s="550"/>
      <c r="D146" s="550"/>
      <c r="E146" s="550"/>
      <c r="F146" s="550"/>
      <c r="G146" s="550"/>
      <c r="H146" s="550"/>
      <c r="I146" s="550"/>
      <c r="J146" s="550"/>
      <c r="K146" s="550"/>
      <c r="L146" s="550"/>
      <c r="M146" s="550"/>
      <c r="N146" s="550"/>
      <c r="O146" s="550"/>
      <c r="P146" s="550"/>
      <c r="Q146" s="550"/>
      <c r="R146" s="550"/>
      <c r="S146" s="550"/>
      <c r="T146" s="550"/>
      <c r="U146" s="550"/>
      <c r="V146" s="550"/>
    </row>
    <row r="147" spans="1:22">
      <c r="A147" s="550"/>
      <c r="B147" s="550"/>
      <c r="C147" s="550"/>
      <c r="D147" s="550"/>
      <c r="E147" s="550"/>
      <c r="F147" s="550"/>
      <c r="G147" s="550"/>
      <c r="H147" s="550"/>
      <c r="I147" s="550"/>
      <c r="J147" s="550"/>
      <c r="K147" s="550"/>
      <c r="L147" s="550"/>
      <c r="M147" s="550"/>
      <c r="N147" s="550"/>
      <c r="O147" s="550"/>
      <c r="P147" s="550"/>
      <c r="Q147" s="550"/>
      <c r="R147" s="550"/>
      <c r="S147" s="550"/>
      <c r="T147" s="550"/>
      <c r="U147" s="550"/>
      <c r="V147" s="550"/>
    </row>
    <row r="148" spans="1:22">
      <c r="A148" s="550"/>
      <c r="B148" s="550"/>
      <c r="C148" s="550"/>
      <c r="D148" s="550"/>
      <c r="E148" s="550"/>
      <c r="F148" s="550"/>
      <c r="G148" s="550"/>
      <c r="H148" s="550"/>
      <c r="I148" s="550"/>
      <c r="J148" s="550"/>
      <c r="K148" s="550"/>
      <c r="L148" s="550"/>
      <c r="M148" s="550"/>
      <c r="N148" s="550"/>
      <c r="O148" s="550"/>
      <c r="P148" s="550"/>
      <c r="Q148" s="550"/>
      <c r="R148" s="550"/>
      <c r="S148" s="550"/>
      <c r="T148" s="550"/>
      <c r="U148" s="550"/>
      <c r="V148" s="550"/>
    </row>
    <row r="149" spans="1:22">
      <c r="A149" s="550"/>
      <c r="B149" s="550"/>
      <c r="C149" s="550"/>
      <c r="D149" s="550"/>
      <c r="E149" s="550"/>
      <c r="F149" s="550"/>
      <c r="G149" s="550"/>
      <c r="H149" s="550"/>
      <c r="I149" s="550"/>
      <c r="J149" s="550"/>
      <c r="K149" s="550"/>
      <c r="L149" s="550"/>
      <c r="M149" s="550"/>
      <c r="N149" s="550"/>
      <c r="O149" s="550"/>
      <c r="P149" s="550"/>
      <c r="Q149" s="550"/>
      <c r="R149" s="550"/>
      <c r="S149" s="550"/>
      <c r="T149" s="550"/>
      <c r="U149" s="550"/>
      <c r="V149" s="550"/>
    </row>
    <row r="150" spans="1:22">
      <c r="A150" s="550"/>
      <c r="B150" s="550"/>
      <c r="C150" s="550"/>
      <c r="D150" s="550"/>
      <c r="E150" s="550"/>
      <c r="F150" s="550"/>
      <c r="G150" s="550"/>
      <c r="H150" s="550"/>
      <c r="I150" s="550"/>
      <c r="J150" s="550"/>
      <c r="K150" s="550"/>
      <c r="L150" s="550"/>
      <c r="M150" s="550"/>
      <c r="N150" s="550"/>
      <c r="O150" s="550"/>
      <c r="P150" s="550"/>
      <c r="Q150" s="550"/>
      <c r="R150" s="550"/>
      <c r="S150" s="550"/>
      <c r="T150" s="550"/>
      <c r="U150" s="550"/>
      <c r="V150" s="550"/>
    </row>
    <row r="151" spans="1:22">
      <c r="A151" s="550"/>
      <c r="B151" s="550"/>
      <c r="C151" s="550"/>
      <c r="D151" s="550"/>
      <c r="E151" s="550"/>
      <c r="F151" s="550"/>
      <c r="G151" s="550"/>
      <c r="H151" s="550"/>
      <c r="I151" s="550"/>
      <c r="J151" s="550"/>
      <c r="K151" s="550"/>
      <c r="L151" s="550"/>
      <c r="M151" s="550"/>
      <c r="N151" s="550"/>
      <c r="O151" s="550"/>
      <c r="P151" s="550"/>
      <c r="Q151" s="550"/>
      <c r="R151" s="550"/>
      <c r="S151" s="550"/>
      <c r="T151" s="550"/>
      <c r="U151" s="550"/>
      <c r="V151" s="550"/>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1"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A99E9FC1-BD26-449B-B0BA-0DC15BBBDA6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3</vt:i4>
      </vt:variant>
    </vt:vector>
  </HeadingPairs>
  <TitlesOfParts>
    <vt:vector size="32"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 Q NITS</vt:lpstr>
      <vt:lpstr>WS Q Schedule 12</vt:lpstr>
      <vt:lpstr>WSQ Schedule 1A</vt:lpstr>
      <vt:lpstr>'WS  B-3'!Print_Area</vt:lpstr>
      <vt:lpstr>'WS G  State Tax Rate'!Print_Area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2021-05-24T16:30:32Z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63a95d46-b7b4-433d-bcb6-b3185541e002</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6" name="bjDocumentLabelXML-0">
    <vt:lpwstr>ames.com/2008/01/sie/internal/label"&gt;&lt;element uid="50c31824-0780-4910-87d1-eaaffd182d42" value="" /&gt;&lt;/sisl&gt;</vt:lpwstr>
  </property>
</Properties>
</file>